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mitt\OneDrive\Documents\PF Course Outline (building)\"/>
    </mc:Choice>
  </mc:AlternateContent>
  <xr:revisionPtr revIDLastSave="0" documentId="8_{1A3A50D0-B698-4FDE-B71E-9F0060E639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cing Guide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7" i="1" l="1"/>
  <c r="I97" i="1"/>
  <c r="H97" i="1"/>
  <c r="J96" i="1"/>
  <c r="I96" i="1"/>
  <c r="H96" i="1"/>
  <c r="G96" i="1"/>
  <c r="J95" i="1"/>
  <c r="I95" i="1"/>
  <c r="H95" i="1"/>
  <c r="G95" i="1"/>
  <c r="J94" i="1"/>
  <c r="I94" i="1"/>
  <c r="H94" i="1"/>
  <c r="G94" i="1"/>
  <c r="J93" i="1"/>
  <c r="I93" i="1"/>
  <c r="H93" i="1"/>
  <c r="G93" i="1"/>
  <c r="I91" i="1"/>
  <c r="H91" i="1"/>
  <c r="G91" i="1"/>
  <c r="J90" i="1"/>
  <c r="I90" i="1"/>
  <c r="H90" i="1"/>
  <c r="G90" i="1"/>
  <c r="J89" i="1"/>
  <c r="I89" i="1"/>
  <c r="H89" i="1"/>
  <c r="G89" i="1"/>
  <c r="I88" i="1"/>
  <c r="H88" i="1"/>
  <c r="G88" i="1"/>
  <c r="J87" i="1"/>
  <c r="I87" i="1"/>
  <c r="H87" i="1"/>
  <c r="G87" i="1"/>
  <c r="J85" i="1"/>
  <c r="I85" i="1"/>
  <c r="H85" i="1"/>
  <c r="G85" i="1"/>
  <c r="J84" i="1"/>
  <c r="I84" i="1"/>
  <c r="H84" i="1"/>
  <c r="G84" i="1"/>
  <c r="I83" i="1"/>
  <c r="H83" i="1"/>
  <c r="G83" i="1"/>
  <c r="J82" i="1"/>
  <c r="I82" i="1"/>
  <c r="H82" i="1"/>
  <c r="G82" i="1"/>
  <c r="J81" i="1"/>
  <c r="I81" i="1"/>
  <c r="H81" i="1"/>
  <c r="G81" i="1"/>
  <c r="J79" i="1"/>
  <c r="I79" i="1"/>
  <c r="H79" i="1"/>
  <c r="G79" i="1"/>
  <c r="I78" i="1"/>
  <c r="H78" i="1"/>
  <c r="G78" i="1"/>
  <c r="J77" i="1"/>
  <c r="I77" i="1"/>
  <c r="H77" i="1"/>
  <c r="G77" i="1"/>
  <c r="I76" i="1"/>
  <c r="H76" i="1"/>
  <c r="G76" i="1"/>
  <c r="J75" i="1"/>
  <c r="I75" i="1"/>
  <c r="H75" i="1"/>
  <c r="G75" i="1"/>
  <c r="J73" i="1"/>
  <c r="I73" i="1"/>
  <c r="H73" i="1"/>
  <c r="G73" i="1"/>
  <c r="J72" i="1"/>
  <c r="I72" i="1"/>
  <c r="H72" i="1"/>
  <c r="G72" i="1"/>
  <c r="J71" i="1"/>
  <c r="I71" i="1"/>
  <c r="H71" i="1"/>
  <c r="G71" i="1"/>
  <c r="I70" i="1"/>
  <c r="H70" i="1"/>
  <c r="G70" i="1"/>
  <c r="I69" i="1"/>
  <c r="H69" i="1"/>
  <c r="G69" i="1"/>
  <c r="J67" i="1"/>
  <c r="I67" i="1"/>
  <c r="H67" i="1"/>
  <c r="G67" i="1"/>
  <c r="J66" i="1"/>
  <c r="I66" i="1"/>
  <c r="H66" i="1"/>
  <c r="G66" i="1"/>
  <c r="J65" i="1"/>
  <c r="I65" i="1"/>
  <c r="H65" i="1"/>
  <c r="G65" i="1"/>
  <c r="I64" i="1"/>
  <c r="H64" i="1"/>
  <c r="G64" i="1"/>
  <c r="J63" i="1"/>
  <c r="I63" i="1"/>
  <c r="H63" i="1"/>
  <c r="G63" i="1"/>
  <c r="I61" i="1"/>
  <c r="H61" i="1"/>
  <c r="G61" i="1"/>
  <c r="J60" i="1"/>
  <c r="I60" i="1"/>
  <c r="H60" i="1"/>
  <c r="G60" i="1"/>
  <c r="J59" i="1"/>
  <c r="I59" i="1"/>
  <c r="H59" i="1"/>
  <c r="G59" i="1"/>
  <c r="I58" i="1"/>
  <c r="H58" i="1"/>
  <c r="G58" i="1"/>
  <c r="J57" i="1"/>
  <c r="I57" i="1"/>
  <c r="H57" i="1"/>
  <c r="G57" i="1"/>
  <c r="J55" i="1"/>
  <c r="I55" i="1"/>
  <c r="H55" i="1"/>
  <c r="G55" i="1"/>
  <c r="J54" i="1"/>
  <c r="I54" i="1"/>
  <c r="H54" i="1"/>
  <c r="G54" i="1"/>
  <c r="I53" i="1"/>
  <c r="H53" i="1"/>
  <c r="G53" i="1"/>
  <c r="I52" i="1"/>
  <c r="H52" i="1"/>
  <c r="G52" i="1"/>
  <c r="I51" i="1"/>
  <c r="H51" i="1"/>
  <c r="G51" i="1"/>
  <c r="J49" i="1"/>
  <c r="I49" i="1"/>
  <c r="H49" i="1"/>
  <c r="G49" i="1"/>
  <c r="J48" i="1"/>
  <c r="I48" i="1"/>
  <c r="H48" i="1"/>
  <c r="G48" i="1"/>
  <c r="J47" i="1"/>
  <c r="I47" i="1"/>
  <c r="H47" i="1"/>
  <c r="G47" i="1"/>
  <c r="J46" i="1"/>
  <c r="I46" i="1"/>
  <c r="H46" i="1"/>
  <c r="G46" i="1"/>
  <c r="J45" i="1"/>
  <c r="I45" i="1"/>
  <c r="H45" i="1"/>
  <c r="G45" i="1"/>
  <c r="I43" i="1"/>
  <c r="H43" i="1"/>
  <c r="G43" i="1"/>
  <c r="J42" i="1"/>
  <c r="I42" i="1"/>
  <c r="H42" i="1"/>
  <c r="G42" i="1"/>
  <c r="J41" i="1"/>
  <c r="I41" i="1"/>
  <c r="H41" i="1"/>
  <c r="G41" i="1"/>
  <c r="J40" i="1"/>
  <c r="I40" i="1"/>
  <c r="H40" i="1"/>
  <c r="G40" i="1"/>
  <c r="J39" i="1"/>
  <c r="I39" i="1"/>
  <c r="H39" i="1"/>
  <c r="G39" i="1"/>
  <c r="J37" i="1"/>
  <c r="I37" i="1"/>
  <c r="H37" i="1"/>
  <c r="G37" i="1"/>
  <c r="J36" i="1"/>
  <c r="I36" i="1"/>
  <c r="H36" i="1"/>
  <c r="G36" i="1"/>
  <c r="J35" i="1"/>
  <c r="I35" i="1"/>
  <c r="H35" i="1"/>
  <c r="G35" i="1"/>
  <c r="J34" i="1"/>
  <c r="I34" i="1"/>
  <c r="H34" i="1"/>
  <c r="G34" i="1"/>
  <c r="J33" i="1"/>
  <c r="I33" i="1"/>
  <c r="H33" i="1"/>
  <c r="G33" i="1"/>
  <c r="J31" i="1"/>
  <c r="I31" i="1"/>
  <c r="H31" i="1"/>
  <c r="G31" i="1"/>
  <c r="J30" i="1"/>
  <c r="I30" i="1"/>
  <c r="H30" i="1"/>
  <c r="G30" i="1"/>
  <c r="J29" i="1"/>
  <c r="I29" i="1"/>
  <c r="H29" i="1"/>
  <c r="G29" i="1"/>
  <c r="J28" i="1"/>
  <c r="I28" i="1"/>
  <c r="H28" i="1"/>
  <c r="G28" i="1"/>
  <c r="J27" i="1"/>
  <c r="I27" i="1"/>
  <c r="H27" i="1"/>
  <c r="G27" i="1"/>
  <c r="J25" i="1"/>
  <c r="I25" i="1"/>
  <c r="H25" i="1"/>
  <c r="G25" i="1"/>
  <c r="J24" i="1"/>
  <c r="I24" i="1"/>
  <c r="H24" i="1"/>
  <c r="G24" i="1"/>
  <c r="I23" i="1"/>
  <c r="H23" i="1"/>
  <c r="G23" i="1"/>
  <c r="J22" i="1"/>
  <c r="I22" i="1"/>
  <c r="H22" i="1"/>
  <c r="G22" i="1"/>
  <c r="J21" i="1"/>
  <c r="I21" i="1"/>
  <c r="H21" i="1"/>
  <c r="G21" i="1"/>
  <c r="J19" i="1"/>
  <c r="I19" i="1"/>
  <c r="H19" i="1"/>
  <c r="G19" i="1"/>
  <c r="J18" i="1"/>
  <c r="I18" i="1"/>
  <c r="H18" i="1"/>
  <c r="G18" i="1"/>
  <c r="I17" i="1"/>
  <c r="H17" i="1"/>
  <c r="G17" i="1"/>
  <c r="J16" i="1"/>
  <c r="I16" i="1"/>
  <c r="H16" i="1"/>
  <c r="G16" i="1"/>
  <c r="J15" i="1"/>
  <c r="I15" i="1"/>
  <c r="H15" i="1"/>
  <c r="G15" i="1"/>
  <c r="J13" i="1"/>
  <c r="I13" i="1"/>
  <c r="H13" i="1"/>
  <c r="G13" i="1"/>
  <c r="J12" i="1"/>
  <c r="I12" i="1"/>
  <c r="H12" i="1"/>
  <c r="G12" i="1"/>
  <c r="J11" i="1"/>
  <c r="I11" i="1"/>
  <c r="H11" i="1"/>
  <c r="G11" i="1"/>
  <c r="J10" i="1"/>
  <c r="I10" i="1"/>
  <c r="H10" i="1"/>
  <c r="G10" i="1"/>
  <c r="I9" i="1"/>
  <c r="H9" i="1"/>
  <c r="G9" i="1"/>
  <c r="J7" i="1"/>
  <c r="I7" i="1"/>
  <c r="H7" i="1"/>
  <c r="G7" i="1"/>
  <c r="J6" i="1"/>
  <c r="I6" i="1"/>
  <c r="H6" i="1"/>
  <c r="G6" i="1"/>
  <c r="J5" i="1"/>
  <c r="I5" i="1"/>
  <c r="H5" i="1"/>
  <c r="G5" i="1"/>
  <c r="J4" i="1"/>
  <c r="I4" i="1"/>
  <c r="H4" i="1"/>
  <c r="G4" i="1"/>
  <c r="J3" i="1"/>
  <c r="I3" i="1"/>
  <c r="H3" i="1"/>
  <c r="G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Joshua Mitton</author>
  </authors>
  <commentList>
    <comment ref="G5" authorId="0" shapeId="0" xr:uid="{00000000-0006-0000-0000-000001000000}">
      <text>
        <r>
          <rPr>
            <sz val="11"/>
            <color theme="1"/>
            <rFont val="Calibri"/>
          </rPr>
          <t>Create a free account to access the lesson</t>
        </r>
      </text>
    </comment>
  </commentList>
</comments>
</file>

<file path=xl/sharedStrings.xml><?xml version="1.0" encoding="utf-8"?>
<sst xmlns="http://schemas.openxmlformats.org/spreadsheetml/2006/main" count="516" uniqueCount="377">
  <si>
    <t>UNIT (Teacher-Facing Titles)</t>
  </si>
  <si>
    <t>UNIT (Student-Facing Titles)</t>
  </si>
  <si>
    <t>Instructional Question or Topic Coverage</t>
  </si>
  <si>
    <t>CA PF 
13 Topics</t>
  </si>
  <si>
    <t>National Standards for Personal Finance Education Concurrence</t>
  </si>
  <si>
    <t>Instructional Media</t>
  </si>
  <si>
    <t>Engaging Media or Tool</t>
  </si>
  <si>
    <t>WEEK 1</t>
  </si>
  <si>
    <t>FINANCIAL DECISION-MAKING FOUNDATIONS</t>
  </si>
  <si>
    <t>What kind of life do I want and why is money often difficult to manage?</t>
  </si>
  <si>
    <t>Day 1</t>
  </si>
  <si>
    <t>Unit 1A: Financial Goal Setting: Course Introduction</t>
  </si>
  <si>
    <t>How do I set financial goals?</t>
  </si>
  <si>
    <t>Personal finance as a life skill: course orientation and the case for financial literacy</t>
  </si>
  <si>
    <t>2,13</t>
  </si>
  <si>
    <t>Day 2</t>
  </si>
  <si>
    <t>Unit 1A: Financial Goal Setting: Set Financial Goals</t>
  </si>
  <si>
    <t>Financial goal time horizons: short-, medium-, and long-term goals connected to life vision</t>
  </si>
  <si>
    <t>II.12-1</t>
  </si>
  <si>
    <t>Day 3</t>
  </si>
  <si>
    <t>Unit 1A: Financial Goal Setting: Explore Career Pathways</t>
  </si>
  <si>
    <t>Human capital investment: career and education pathways and their effect on earning potential</t>
  </si>
  <si>
    <t>3, 10</t>
  </si>
  <si>
    <t>I.12-3, I.12-4</t>
  </si>
  <si>
    <t>Day 4</t>
  </si>
  <si>
    <t>Unit 1A: Financial Goal Setting: Introduction to Budgeting</t>
  </si>
  <si>
    <t>Budgeting foundations: needs vs. wants, scarcity, and opportunity cost</t>
  </si>
  <si>
    <t>2, 11</t>
  </si>
  <si>
    <t>II.12-1, II.12-2</t>
  </si>
  <si>
    <t>Day 5</t>
  </si>
  <si>
    <t>Unit 1A: Financial Goal Setting: Budgeting Fundamentals</t>
  </si>
  <si>
    <t>Scarcity, resource limits, and consumer trade-offs</t>
  </si>
  <si>
    <t>2</t>
  </si>
  <si>
    <t>II.12-2</t>
  </si>
  <si>
    <t>WEEK 2</t>
  </si>
  <si>
    <t>Day 6</t>
  </si>
  <si>
    <t>Unit 1B: Financial Mindset and Money Management: Apply Budgeting Skills</t>
  </si>
  <si>
    <t>How do I make good financial decisions?</t>
  </si>
  <si>
    <t>Budgeting as a structured financial decision-making framework</t>
  </si>
  <si>
    <t>Day 7</t>
  </si>
  <si>
    <t>Unit 1B: Financial Mindset and Money Management: Practice Budgeting</t>
  </si>
  <si>
    <t>Real-world budget scenarios and practice applying spending trade-offs</t>
  </si>
  <si>
    <t>Day 8</t>
  </si>
  <si>
    <t>Unit 1B: Financial Mindset and Money Management: Avoiding Common Financial Problems</t>
  </si>
  <si>
    <t>Behavioral economics of impulse control: immediate vs. delayed gratification</t>
  </si>
  <si>
    <t>II.12-2, II.12-4</t>
  </si>
  <si>
    <t>Day 9</t>
  </si>
  <si>
    <t>Unit 1B: Financial Mindset and Money Management: Understanding Credit Card Risks</t>
  </si>
  <si>
    <t>Debt accumulation, compounding interest, and the minimum payment trap</t>
  </si>
  <si>
    <t>4, 11</t>
  </si>
  <si>
    <t>V.12-1, II.12-1</t>
  </si>
  <si>
    <t>Day 10</t>
  </si>
  <si>
    <t>Unit 1B: Financial Mindset and Money Management: Building Better Financial Habits</t>
  </si>
  <si>
    <t>Habit formation, default bias, and the Pay Yourself First principle</t>
  </si>
  <si>
    <t>11</t>
  </si>
  <si>
    <t>III.12-9, II.12-1</t>
  </si>
  <si>
    <t>WEEK 3</t>
  </si>
  <si>
    <t>Day 11</t>
  </si>
  <si>
    <t>Unit 1B: FM&amp;MM: Behavioral Factors Influencing Financial Decisions</t>
  </si>
  <si>
    <t>Anchoring, reference points, and prospect theory: why financial decisions aren't always rational</t>
  </si>
  <si>
    <t>9, 11</t>
  </si>
  <si>
    <t>IV.12-9</t>
  </si>
  <si>
    <t>Day 12</t>
  </si>
  <si>
    <t>Unit 1C: Using Mainstream Financial Services: Banking Basics</t>
  </si>
  <si>
    <t>What are the basics I should understand to manage finances well?</t>
  </si>
  <si>
    <t>Types of bank accounts and choosing between banks and credit unions</t>
  </si>
  <si>
    <t>III.12-1, III.12-2</t>
  </si>
  <si>
    <t>Day 13</t>
  </si>
  <si>
    <t>Unit 1C: Using Mainstream Financial Services: Modern Banking</t>
  </si>
  <si>
    <t>Digital banking tools, mobile payments, and managing finances online</t>
  </si>
  <si>
    <t>1, 13</t>
  </si>
  <si>
    <t>III.12-3</t>
  </si>
  <si>
    <t>Day 14</t>
  </si>
  <si>
    <t>Unit 1C: Using Mainstream Financial Services: Avoiding Banking Fees</t>
  </si>
  <si>
    <t>Bank fee structures, price transparency, and getting the accounts you need</t>
  </si>
  <si>
    <t>III.12-2</t>
  </si>
  <si>
    <t>Day 15</t>
  </si>
  <si>
    <t>Unit Synthesis</t>
  </si>
  <si>
    <t>Charitable giving, values-based financial decisions, and personal financial philosophy</t>
  </si>
  <si>
    <t>2, 11, 12, 13</t>
  </si>
  <si>
    <t>II.12-7</t>
  </si>
  <si>
    <t>WEEK 4</t>
  </si>
  <si>
    <t>EARNING MONEY: JOBS, PAYCHECKS &amp; YOUR FINANCIAL SYSTEM</t>
  </si>
  <si>
    <t>How can I earn money and what does it really take to manage it well?</t>
  </si>
  <si>
    <t>Day 16</t>
  </si>
  <si>
    <t>Unit 2A: Understanding Employment: Explore Future Planning</t>
  </si>
  <si>
    <t>How do I get a job now? How do I get a good job in the future?</t>
  </si>
  <si>
    <t>Exploring career and education paths as investments in lifestyle and income potential</t>
  </si>
  <si>
    <t>2, 3, 8, 10</t>
  </si>
  <si>
    <t>I.12-3, IV.12-1</t>
  </si>
  <si>
    <t>Day 17</t>
  </si>
  <si>
    <t>Funding postsecondary education: loans, lifestyle trade-offs, and income goal alignment</t>
  </si>
  <si>
    <t>Day 18</t>
  </si>
  <si>
    <t>Evaluating and stress-testing a postsecondary financial plan; flex day</t>
  </si>
  <si>
    <t>Day 19</t>
  </si>
  <si>
    <t>Unit 2A: Understanding Employment: Types of Employment</t>
  </si>
  <si>
    <t>W-2 employment vs. self-employment: tax withholding, the self-employment tax, and irregular income</t>
  </si>
  <si>
    <t>3, 7</t>
  </si>
  <si>
    <t>I.12-1, I.12-11</t>
  </si>
  <si>
    <t>Day 20</t>
  </si>
  <si>
    <t>Unit 2A: Understanding Employment: Employment Structures</t>
  </si>
  <si>
    <t>Employment structures and employee rights: hourly vs. salaried, part-time vs. full-time, wages, and working conditions</t>
  </si>
  <si>
    <t>I.12-1, I.12-2</t>
  </si>
  <si>
    <t>WEEK 5</t>
  </si>
  <si>
    <t>Day 21</t>
  </si>
  <si>
    <t>Unit 2A: Understanding Employment: Job Search Skills</t>
  </si>
  <si>
    <t>Job application skills: resumes, cover letters, and navigating the hiring process</t>
  </si>
  <si>
    <t>3, 13</t>
  </si>
  <si>
    <t>I.12-4</t>
  </si>
  <si>
    <t>Day 22</t>
  </si>
  <si>
    <t>Unit 2A: Understanding Employment: Securing Employment</t>
  </si>
  <si>
    <t>Interview preparation and follow-up: questions, body language, and professional communication</t>
  </si>
  <si>
    <t>Day 23</t>
  </si>
  <si>
    <t>Unit 2A: Understanding Employment: Alternative Income Paths</t>
  </si>
  <si>
    <t>Entrepreneurship, gig work, and the economics of working for yourself</t>
  </si>
  <si>
    <t>I.12-11, I.12-5</t>
  </si>
  <si>
    <t>Day 24</t>
  </si>
  <si>
    <t>Unit 2B: Paychecks: Understanding Paychecks</t>
  </si>
  <si>
    <t>Why is my paycheck so different from my wage?</t>
  </si>
  <si>
    <t>Gross vs. net pay and reading a paycheck: what gets withheld and why</t>
  </si>
  <si>
    <t>3, 7, 13</t>
  </si>
  <si>
    <t>I.12-1, I.12-6</t>
  </si>
  <si>
    <t>Day 25</t>
  </si>
  <si>
    <t>Unit 2B: Paychecks: Paycheck Details</t>
  </si>
  <si>
    <t>Pay periods, pay frequency, and pay stub literacy</t>
  </si>
  <si>
    <t>I.12-1</t>
  </si>
  <si>
    <t>WEEK 6</t>
  </si>
  <si>
    <t>Day 26</t>
  </si>
  <si>
    <t>Unit 2B: Paychecks: Why We Pay Taxes</t>
  </si>
  <si>
    <t>Federal, state, and local taxes: government revenue, public goods, and why taxes exist</t>
  </si>
  <si>
    <t>I.12-6, I.12-7</t>
  </si>
  <si>
    <t>Day 27</t>
  </si>
  <si>
    <t>Unit 2B: Paychecks: Income Tax Fundamentals</t>
  </si>
  <si>
    <t>Income tax fundamentals: marginal tax rates and how progressive taxation works</t>
  </si>
  <si>
    <t>I.12-6, I.12-7, I.12-9</t>
  </si>
  <si>
    <t>Day 28</t>
  </si>
  <si>
    <t>Unit 2B: Paychecks: Tax Withholding</t>
  </si>
  <si>
    <t>W-4 forms, withholding, and common deductions: managing your tax obligation</t>
  </si>
  <si>
    <t>I.12-7, I.12-9</t>
  </si>
  <si>
    <t>Day 29</t>
  </si>
  <si>
    <t>Unit 2B: Paychecks: Tax Filing</t>
  </si>
  <si>
    <t>Tax filing basics: standard vs. itemized deductions, refunds, and amounts owed</t>
  </si>
  <si>
    <t>Day 30</t>
  </si>
  <si>
    <t>Unit 2C: Building Your Financial System: Cash Flow Management</t>
  </si>
  <si>
    <t>What's my game plan for managing money?</t>
  </si>
  <si>
    <t>Cash flow management: aligning income timing with expense timing</t>
  </si>
  <si>
    <t>II.12-1, II.12-9</t>
  </si>
  <si>
    <t>WEEK 7</t>
  </si>
  <si>
    <t>Day 31</t>
  </si>
  <si>
    <t>Unit 2C: Building Your Financial System: Building Realistic Budgets</t>
  </si>
  <si>
    <t>Building a realistic budget from actual income and real-world expenses</t>
  </si>
  <si>
    <t>Day 32</t>
  </si>
  <si>
    <t>Unit 2C: Building Your Financial System: Budgeting Systems</t>
  </si>
  <si>
    <t>Budgeting method comparison: 50/30/20, zero-based, and envelope (finding what fits)</t>
  </si>
  <si>
    <t>Day 33</t>
  </si>
  <si>
    <t>Unit 2C: Building Your Financial System: Lifelong Personal Finance Learning</t>
  </si>
  <si>
    <t>Financial planning as a dynamic, lifelong process that changes with life circumstances</t>
  </si>
  <si>
    <t>13</t>
  </si>
  <si>
    <t>Day 34</t>
  </si>
  <si>
    <t>Unit 2C: Building Your Financial System: Saving v Investing and Introduction to Investments</t>
  </si>
  <si>
    <t>Saving vs. investing: the risk-return trade-off and the opportunity cost of each</t>
  </si>
  <si>
    <t>8, 13</t>
  </si>
  <si>
    <t>III.12-1, IV.12-1</t>
  </si>
  <si>
    <t>Day 35</t>
  </si>
  <si>
    <t>Unit 2C: Building Your Financial System: Self-Employment Details</t>
  </si>
  <si>
    <t>Self-employment income variability, estimated taxes, and managing business expenses</t>
  </si>
  <si>
    <t>I.12-11, I.12-7</t>
  </si>
  <si>
    <t>WEEK 8</t>
  </si>
  <si>
    <t>Day 36</t>
  </si>
  <si>
    <t>Connecting career, income, taxes, and banking across the full financial system</t>
  </si>
  <si>
    <t>1, 2, 3, 7</t>
  </si>
  <si>
    <t>I.12-3, I.12-5</t>
  </si>
  <si>
    <t>Day 37</t>
  </si>
  <si>
    <t>Unit 3A: Understanding Interest &amp; Credit: Interest and Compound Interest</t>
  </si>
  <si>
    <t>What do I need to understand about interest and credit?</t>
  </si>
  <si>
    <t>Interest, compound growth, and the time value of money</t>
  </si>
  <si>
    <t>4, 5, 8</t>
  </si>
  <si>
    <t>III.12-1, IV.12-2</t>
  </si>
  <si>
    <t>Day 38</t>
  </si>
  <si>
    <t>Unit 3A: Understanding Interest &amp; Credit: Savings Strategies</t>
  </si>
  <si>
    <t>Savings vehicles, rates of return, and choosing the right savings account type</t>
  </si>
  <si>
    <t>1, 8, 13</t>
  </si>
  <si>
    <t>Day 39</t>
  </si>
  <si>
    <t>Unit 3A: Understanding Interest &amp; Credit: Starting Early Advantage</t>
  </si>
  <si>
    <t>Compounding over time: why starting early is the most powerful wealth-building variable</t>
  </si>
  <si>
    <t>IV.12-2, IV.12-6</t>
  </si>
  <si>
    <t>Day 40</t>
  </si>
  <si>
    <t>Unit 3A: Understanding Interest &amp; Credit: Overview of Credit</t>
  </si>
  <si>
    <t>Credit as the price of borrowing: installment vs. revolving credit</t>
  </si>
  <si>
    <t>V.12-1, V.12-2</t>
  </si>
  <si>
    <t>WEEK 9</t>
  </si>
  <si>
    <t>UNDERSTANDING CREDIT AND MAJOR FINANCIAL PURCHASE DECISIONS</t>
  </si>
  <si>
    <t>How do I build financial capability as my responsibilities grow?</t>
  </si>
  <si>
    <t>Day 41</t>
  </si>
  <si>
    <t>Unit 3A: Understanding Interest &amp; Credit: Compounding Against You</t>
  </si>
  <si>
    <t>Compounding against you: how interest grows debt and the true cost of borrowing</t>
  </si>
  <si>
    <t>4, 5</t>
  </si>
  <si>
    <t>V.12-1</t>
  </si>
  <si>
    <t>Day 42</t>
  </si>
  <si>
    <t>Unit 3A: Understanding Interest &amp; Credit: Credit Reports and Scores</t>
  </si>
  <si>
    <t>Credit reports and credit scores: what they measure and how lenders use them</t>
  </si>
  <si>
    <t>4, 13</t>
  </si>
  <si>
    <t>V.12-7, V.12-8</t>
  </si>
  <si>
    <t>Day 43</t>
  </si>
  <si>
    <t>Unit 3A: Understanding Interest &amp; Credit: Credit Score Factors</t>
  </si>
  <si>
    <t>Credit score factors and why credit history is a long-term financial asset</t>
  </si>
  <si>
    <t>V.12-8, V.12-9</t>
  </si>
  <si>
    <t>Day 44</t>
  </si>
  <si>
    <t>Unit 3A: Understanding Interest &amp; Credit: Building Credit Responsibly</t>
  </si>
  <si>
    <t>Responsible credit-building strategies, timelines, and credit card management</t>
  </si>
  <si>
    <t>Day 45</t>
  </si>
  <si>
    <t xml:space="preserve">UNIT 3B: Loan Types and Tools for Purchases: Credit Cards </t>
  </si>
  <si>
    <t>How can I make good borrowing decisions for major purchases?</t>
  </si>
  <si>
    <t>Credit cards and buy now, pay later: how they work, predatory traps, and principles of responsible use</t>
  </si>
  <si>
    <t>2, 4, 9, 13</t>
  </si>
  <si>
    <t>WEEK 10</t>
  </si>
  <si>
    <t>Day 46</t>
  </si>
  <si>
    <t>UNIT 3B: Loan Types and Tools for Purchases: Auto Loans</t>
  </si>
  <si>
    <t>Auto loan financing rules, amortization basics, and the total cost of a car loan</t>
  </si>
  <si>
    <t>V.12-2, V.12-6</t>
  </si>
  <si>
    <t>Day 47</t>
  </si>
  <si>
    <t>UNIT 3B: Loan Types and Tools for Purchases: Car Purchase Decisions</t>
  </si>
  <si>
    <t>Car purchase decision-making: when buying makes economic sense and what alternatives cost</t>
  </si>
  <si>
    <t>2, 10, 13</t>
  </si>
  <si>
    <t>II.12-3, II.12-5</t>
  </si>
  <si>
    <t>Day 48</t>
  </si>
  <si>
    <t>UNIT 3B: Loan Types and Tools for Purchases: Car Buying Choices</t>
  </si>
  <si>
    <t>New vs. used, buy vs. lease: consumer trade-offs in the vehicle market</t>
  </si>
  <si>
    <t>Day 49</t>
  </si>
  <si>
    <t>UNIT 3B: Loan Types and Tools for Purchases: True Cost of Car Ownership</t>
  </si>
  <si>
    <t>True cost of car ownership: fuel, insurance, registration, and maintenance beyond the loan</t>
  </si>
  <si>
    <t>II.12-3</t>
  </si>
  <si>
    <t>Day 50</t>
  </si>
  <si>
    <t>UNIT 3B: Loan Types and Tools for Purchases: Renting An Apartment</t>
  </si>
  <si>
    <t>Renting an apartment: upfront costs, credit requirements, and income verification</t>
  </si>
  <si>
    <t>II.12-6</t>
  </si>
  <si>
    <t>WEEK 11</t>
  </si>
  <si>
    <t>Day 51</t>
  </si>
  <si>
    <t>UNIT 3B: Loan Types and Tools for Purchases: Mortgage Loans</t>
  </si>
  <si>
    <t>Mortgage types and the true cost of homeownership: fixed, adjustable, and interest-only loans</t>
  </si>
  <si>
    <t>V.12-6, II.12-6</t>
  </si>
  <si>
    <t>Day 52</t>
  </si>
  <si>
    <t>UNIT 3B: Loan Types and Tools for Purchases: Housing Decisions</t>
  </si>
  <si>
    <t>Rent vs. buy: financial and non-financial trade-offs and housing as the largest fixed expense</t>
  </si>
  <si>
    <t>Day 53</t>
  </si>
  <si>
    <t>UNIT 3C: Funding College or Workforce Training: Student Loans &amp; Personal Loans</t>
  </si>
  <si>
    <t>How can I pay for the education and training I want?</t>
  </si>
  <si>
    <t>Student loans and personal loans: borrowing practices and rules of thumb for each</t>
  </si>
  <si>
    <t>Day 54</t>
  </si>
  <si>
    <t>UNIT 3C: Funding College or Workforce Training: Student Loan Details</t>
  </si>
  <si>
    <t>Federal vs. private student loans, work-study, and strategies for financing college</t>
  </si>
  <si>
    <t>V.12-5, V.12-4</t>
  </si>
  <si>
    <t>Day 55</t>
  </si>
  <si>
    <t>UNIT 3C: Funding College or Workforce Training: College Costs</t>
  </si>
  <si>
    <t>Breaking down college costs and the return on investment of education as human capital</t>
  </si>
  <si>
    <t>V.12-4, I.12-3</t>
  </si>
  <si>
    <t>WEEK 12</t>
  </si>
  <si>
    <t>Day 56</t>
  </si>
  <si>
    <t>UNIT 3C: Funding College or Workforce Training: Free Money For College</t>
  </si>
  <si>
    <t>Scholarships, grants, Cal Grant, and the California Dream Act: finding and securing free money for education</t>
  </si>
  <si>
    <t>V.12-4</t>
  </si>
  <si>
    <t>Day 57</t>
  </si>
  <si>
    <t>UNIT 3C: Funding College or Workforce Training: FAFSA</t>
  </si>
  <si>
    <t>The FAFSA, Cal Grant, and California Dream Act: financial aid eligibility and California-specific programs</t>
  </si>
  <si>
    <t>V.12-4, V.12-5</t>
  </si>
  <si>
    <t>Day 58</t>
  </si>
  <si>
    <t>Unit 4A: Managing Risk Through Insurance: Introduction to Financial Risk</t>
  </si>
  <si>
    <t>How does insurance protect against financial problems?</t>
  </si>
  <si>
    <t>Risk pooling, expected value, and how insurance markets work</t>
  </si>
  <si>
    <t>VI.12-1, VI.12-2</t>
  </si>
  <si>
    <t>Day 59</t>
  </si>
  <si>
    <t>Unit 4A: Managing Risk Through Insurance: Insurance as a Tool</t>
  </si>
  <si>
    <t>Evaluating insurance as an economic decision: when coverage is worth the premium</t>
  </si>
  <si>
    <t>VI.12-2, VI.12-4</t>
  </si>
  <si>
    <t>Day 60</t>
  </si>
  <si>
    <t>Unit 4A: Managing Risk Through Insurance: Health, Life &amp; Disability Insurance</t>
  </si>
  <si>
    <t>Health, life, and disability insurance: core coverage types and their purposes</t>
  </si>
  <si>
    <t>VI.12-5</t>
  </si>
  <si>
    <t>WEEK 13</t>
  </si>
  <si>
    <t>RISK MANAGEMENT &amp; FINANCIAL PROTECTION</t>
  </si>
  <si>
    <t>How can I plan for the best while preparing for the worst?</t>
  </si>
  <si>
    <t>Day 61</t>
  </si>
  <si>
    <t>Unit 4A: Managing Risk Through Insurance: Auto Insurance</t>
  </si>
  <si>
    <t>Auto insurance: California minimum requirements, optional coverage, and understanding policy terms</t>
  </si>
  <si>
    <t>VI.12-7, VI.12-3</t>
  </si>
  <si>
    <t>Day 62</t>
  </si>
  <si>
    <t>Unit 4A: Managing Risk Through Insurance: Property Insurance</t>
  </si>
  <si>
    <t>Property insurance: renters and homeowners coverage and the cost-coverage trade-off</t>
  </si>
  <si>
    <t>VI.12-7</t>
  </si>
  <si>
    <t>Day 63</t>
  </si>
  <si>
    <t>Unit 4B: Managing Debt and Building Resilience: Financial Resilience</t>
  </si>
  <si>
    <t>What does it take to handle financial setbacks and debt?</t>
  </si>
  <si>
    <t>Financial resilience: emergency savings, layered protection, and recovering from setbacks</t>
  </si>
  <si>
    <t>2, 6, 13</t>
  </si>
  <si>
    <t>III.12-9, VI.12-1</t>
  </si>
  <si>
    <t>Day 64</t>
  </si>
  <si>
    <t>Unit 4B: Managing Debt and Building Resilience: Government Safety Net Programs</t>
  </si>
  <si>
    <t>Government safety net programs as a layer of financial resilience</t>
  </si>
  <si>
    <t>2, 13</t>
  </si>
  <si>
    <t>VI.12-9</t>
  </si>
  <si>
    <t>Day 65</t>
  </si>
  <si>
    <t>Unit 4B: Managing Debt and Building Resilience: Credit Card Debt Traps</t>
  </si>
  <si>
    <t>APR, compound interest, and the debt trap of minimum payments</t>
  </si>
  <si>
    <t>4, 9, 13</t>
  </si>
  <si>
    <t>V.12-1, V.12-10</t>
  </si>
  <si>
    <t>WEEK 14</t>
  </si>
  <si>
    <t>Day 66</t>
  </si>
  <si>
    <t>Unit 4B: Managing Debt and Building Resilience: Debt Repayment Strategies</t>
  </si>
  <si>
    <t>Debt repayment strategies: the behavioral vs. economic case for snowball vs. avalanche, and the payoff math</t>
  </si>
  <si>
    <t>2, 4</t>
  </si>
  <si>
    <t>V.12-10</t>
  </si>
  <si>
    <t>Day 67</t>
  </si>
  <si>
    <t>Unit 4C: Managing Fraud &amp; Identity Threats: Financial Scams &amp; Identity Theft</t>
  </si>
  <si>
    <t>How do I protect myself from scams, fraud and identity theft?</t>
  </si>
  <si>
    <t>Financial fraud, predatory lending, and identity theft: common scam types and digital self-protection</t>
  </si>
  <si>
    <t>VI.12-10, VI.12-11</t>
  </si>
  <si>
    <t>Day 68</t>
  </si>
  <si>
    <t>Unit 4C: Managing Fraud &amp; Identity Threats: Digital Security</t>
  </si>
  <si>
    <t>Digital security basics for protecting financial information online</t>
  </si>
  <si>
    <t>VI.12-11</t>
  </si>
  <si>
    <t>Day 69</t>
  </si>
  <si>
    <t>Unit 5A: Investing Essentials: Investment Asset Types</t>
  </si>
  <si>
    <t>What does it really mean to invest my money?</t>
  </si>
  <si>
    <t>Investment asset types: stocks, bonds, mutual funds, ETFs, and real estate</t>
  </si>
  <si>
    <t>IV.12-2, IV.12-5</t>
  </si>
  <si>
    <t>Day 70</t>
  </si>
  <si>
    <t>Unit 5A: Investing Essentials: Sound Investment Practices</t>
  </si>
  <si>
    <t>Diversification, asset allocation, and evidence-based investing principles</t>
  </si>
  <si>
    <t>IV.12-6</t>
  </si>
  <si>
    <t>WEEK 15</t>
  </si>
  <si>
    <t>LONG-TERM FINANCIAL PLANNING IN A DYNAMIC WORLD</t>
  </si>
  <si>
    <t>How can I build long-term security in a world that keeps changing?</t>
  </si>
  <si>
    <t>Day 71</t>
  </si>
  <si>
    <t>Unit 5A: Investing Essentials: Investment Considerations</t>
  </si>
  <si>
    <t>Risk tolerance, time horizon, and investment decision-making (including cryptocurrencies)</t>
  </si>
  <si>
    <t>IV.12-1, IV.12-3</t>
  </si>
  <si>
    <t>Day 72</t>
  </si>
  <si>
    <t>Unit 5A: Investing Essentials: Investment &amp; Retirement Accounts</t>
  </si>
  <si>
    <t>Retirement and investment accounts: 401(k), IRA, Roth, 403(b), and the value of employer matching</t>
  </si>
  <si>
    <t>IV.12-7, IV.12-8, IV.12-11</t>
  </si>
  <si>
    <t>Day 73</t>
  </si>
  <si>
    <t>Unit 5A: Investing Essentials: Getting Starting Early</t>
  </si>
  <si>
    <t>Starting early, automating contributions, and building long-term investing habits</t>
  </si>
  <si>
    <t>8, 11, 13</t>
  </si>
  <si>
    <t>IV.12-6, IV.12-10</t>
  </si>
  <si>
    <t>Day 74</t>
  </si>
  <si>
    <t>Unit 5B: Investing Doesn't Happen in a Vacuum: Markets Influencing Investments</t>
  </si>
  <si>
    <t>What else do I need to understand to guide my investing decisions?</t>
  </si>
  <si>
    <t>Macroeconomic forces and investing: inflation, purchasing power, monetary policy, and market cycles</t>
  </si>
  <si>
    <t>IV.12-5, IV.12-9</t>
  </si>
  <si>
    <t>Day 75</t>
  </si>
  <si>
    <t>Unit 5B: Investing Doesn't Happen in a Vacuum: Government Programs Affecting Investments</t>
  </si>
  <si>
    <t>Social Security, Medicare, and government tax incentives for retirement saving</t>
  </si>
  <si>
    <t>I.12-10, VI.12-9, III.12-6</t>
  </si>
  <si>
    <t>WEEK 16</t>
  </si>
  <si>
    <t>Day 76</t>
  </si>
  <si>
    <t>Unit 5B: Investing Doesn't Happen in a Vacuum: Retirement Supplements</t>
  </si>
  <si>
    <t>Defined-benefit pensions, retirement supplements, and passive income options</t>
  </si>
  <si>
    <t>I.12-10, III.12-7</t>
  </si>
  <si>
    <t>Day 77</t>
  </si>
  <si>
    <t>Unit 5C: Charting Your Financial Future: Foundations of Wealth Building</t>
  </si>
  <si>
    <t>What does financial independence mean to me?</t>
  </si>
  <si>
    <t>Wealth determinants, values alignment, and the factors that shape long-term financial outcomes</t>
  </si>
  <si>
    <t>2, 8, 11, 13</t>
  </si>
  <si>
    <t>II.12-7, IV.12-6</t>
  </si>
  <si>
    <t>Day 78</t>
  </si>
  <si>
    <t>Unit 5C: Charting Your Financial Future: Responsibility &amp; Legacy</t>
  </si>
  <si>
    <t>Generational wealth, financial legacy, and personal and community responsibility</t>
  </si>
  <si>
    <t>Day 79</t>
  </si>
  <si>
    <t>Unit 5C: Charting Your Financial Future: Lifelong Learning</t>
  </si>
  <si>
    <t>Financial capability as an ongoing journey: building habits for lifelong review and growth</t>
  </si>
  <si>
    <t>Day 80</t>
  </si>
  <si>
    <t>Course Conclusion (TBD)</t>
  </si>
  <si>
    <t>Summative assessment and Lifelong Financial Learning Plan capstone</t>
  </si>
  <si>
    <t>Summative assessment + course capstone (CCEE/teacher-authored) - see note</t>
  </si>
  <si>
    <t>RESOURCE TYPE 1:
Primary Lesson</t>
  </si>
  <si>
    <t>RESOURCE TYPE 2:
Additional Activity, Short Activity or 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</si>
</sst>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0"/>
      <color theme="1"/>
      <name val="Roboto Condensed"/>
    </font>
    <font>
      <i/>
      <sz val="10"/>
      <color theme="1"/>
      <name val="Roboto Condensed"/>
    </font>
    <font>
      <b/>
      <sz val="10"/>
      <color theme="1"/>
      <name val="Roboto Condensed"/>
    </font>
    <font>
      <b/>
      <sz val="10"/>
      <name val="Roboto Condensed"/>
    </font>
    <font>
      <b/>
      <i/>
      <sz val="10"/>
      <name val="Roboto Condensed"/>
    </font>
    <font>
      <sz val="10"/>
      <color rgb="FF0563C1"/>
      <name val="Roboto Condensed"/>
    </font>
    <font>
      <i/>
      <sz val="10"/>
      <name val="Roboto Condensed"/>
    </font>
    <font>
      <b/>
      <sz val="11"/>
      <color theme="1"/>
      <name val="Roboto Condensed"/>
    </font>
    <font>
      <b/>
      <sz val="12"/>
      <color theme="1"/>
      <name val="Roboto Condensed"/>
    </font>
    <font>
      <b/>
      <sz val="14"/>
      <color theme="1"/>
      <name val="Roboto Condensed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indexed="65"/>
      </patternFill>
    </fill>
    <fill>
      <patternFill patternType="solid">
        <fgColor rgb="FF8FC6E4"/>
        <bgColor indexed="64"/>
      </patternFill>
    </fill>
    <fill>
      <patternFill patternType="solid">
        <fgColor rgb="FFDDEEF8"/>
        <bgColor indexed="64"/>
      </patternFill>
    </fill>
    <fill>
      <patternFill patternType="solid">
        <fgColor rgb="FFB9D98B"/>
        <bgColor indexed="64"/>
      </patternFill>
    </fill>
    <fill>
      <patternFill patternType="solid">
        <fgColor rgb="FFE3F0D8"/>
        <bgColor indexed="64"/>
      </patternFill>
    </fill>
    <fill>
      <patternFill patternType="solid">
        <fgColor rgb="FFE3F0D8"/>
        <bgColor indexed="64"/>
      </patternFill>
    </fill>
    <fill>
      <patternFill patternType="solid">
        <fgColor rgb="FFDDEEF8"/>
        <bgColor indexed="64"/>
      </patternFill>
    </fill>
    <fill>
      <patternFill patternType="solid">
        <fgColor rgb="FF8FC6E4"/>
        <bgColor indexed="64"/>
      </patternFill>
    </fill>
    <fill>
      <patternFill patternType="solid">
        <fgColor rgb="FFE3F0D8"/>
        <bgColor indexed="64"/>
      </patternFill>
    </fill>
    <fill>
      <patternFill patternType="solid">
        <fgColor rgb="FFB9D98B"/>
        <bgColor indexed="64"/>
      </patternFill>
    </fill>
    <fill>
      <patternFill patternType="solid">
        <fgColor rgb="FFDDEEF8"/>
        <bgColor indexed="64"/>
      </patternFill>
    </fill>
    <fill>
      <patternFill patternType="solid">
        <fgColor rgb="FF8FC6E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2D8AB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3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left" vertical="center"/>
    </xf>
    <xf numFmtId="0" fontId="1" fillId="13" borderId="0" xfId="0" applyFont="1" applyFill="1" applyAlignment="1">
      <alignment horizontal="left" vertical="center"/>
    </xf>
    <xf numFmtId="0" fontId="2" fillId="1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2" fontId="1" fillId="4" borderId="0" xfId="0" applyNumberFormat="1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49" fontId="1" fillId="6" borderId="0" xfId="0" applyNumberFormat="1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/>
    </xf>
    <xf numFmtId="49" fontId="1" fillId="8" borderId="0" xfId="0" applyNumberFormat="1" applyFont="1" applyFill="1" applyAlignment="1">
      <alignment horizontal="left" vertical="center"/>
    </xf>
    <xf numFmtId="0" fontId="4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left" vertical="center"/>
    </xf>
    <xf numFmtId="0" fontId="6" fillId="9" borderId="0" xfId="0" applyFont="1" applyFill="1" applyAlignment="1">
      <alignment horizontal="left" vertical="center"/>
    </xf>
    <xf numFmtId="0" fontId="1" fillId="10" borderId="0" xfId="0" applyFont="1" applyFill="1" applyAlignment="1">
      <alignment horizontal="left" vertical="center"/>
    </xf>
    <xf numFmtId="49" fontId="1" fillId="10" borderId="0" xfId="0" applyNumberFormat="1" applyFont="1" applyFill="1" applyAlignment="1">
      <alignment horizontal="left" vertical="center"/>
    </xf>
    <xf numFmtId="0" fontId="6" fillId="10" borderId="0" xfId="0" applyFont="1" applyFill="1" applyAlignment="1">
      <alignment horizontal="left" vertical="center"/>
    </xf>
    <xf numFmtId="0" fontId="4" fillId="11" borderId="0" xfId="0" applyFont="1" applyFill="1" applyAlignment="1">
      <alignment horizontal="left" vertical="center"/>
    </xf>
    <xf numFmtId="0" fontId="7" fillId="11" borderId="0" xfId="0" applyFont="1" applyFill="1" applyAlignment="1">
      <alignment horizontal="left" vertical="center"/>
    </xf>
    <xf numFmtId="0" fontId="1" fillId="12" borderId="0" xfId="0" applyFont="1" applyFill="1" applyAlignment="1">
      <alignment horizontal="left" vertical="center"/>
    </xf>
    <xf numFmtId="49" fontId="1" fillId="12" borderId="0" xfId="0" applyNumberFormat="1" applyFont="1" applyFill="1" applyAlignment="1">
      <alignment horizontal="left" vertical="center"/>
    </xf>
    <xf numFmtId="0" fontId="6" fillId="12" borderId="0" xfId="0" applyFont="1" applyFill="1" applyAlignment="1">
      <alignment horizontal="left" vertical="center"/>
    </xf>
    <xf numFmtId="0" fontId="4" fillId="13" borderId="0" xfId="0" applyFont="1" applyFill="1" applyAlignment="1">
      <alignment horizontal="left" vertical="center"/>
    </xf>
    <xf numFmtId="0" fontId="7" fillId="13" borderId="0" xfId="0" applyFont="1" applyFill="1" applyAlignment="1">
      <alignment horizontal="left" vertical="center"/>
    </xf>
    <xf numFmtId="0" fontId="6" fillId="13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" fillId="14" borderId="0" xfId="0" applyFont="1" applyFill="1" applyAlignment="1">
      <alignment vertical="center"/>
    </xf>
    <xf numFmtId="0" fontId="2" fillId="14" borderId="0" xfId="0" applyFont="1" applyFill="1" applyAlignment="1">
      <alignment vertical="center"/>
    </xf>
    <xf numFmtId="0" fontId="1" fillId="14" borderId="0" xfId="0" applyFont="1" applyFill="1"/>
    <xf numFmtId="0" fontId="1" fillId="14" borderId="0" xfId="0" applyFont="1" applyFill="1" applyAlignment="1">
      <alignment horizontal="left" vertical="center" wrapText="1"/>
    </xf>
    <xf numFmtId="0" fontId="1" fillId="14" borderId="0" xfId="0" applyFont="1" applyFill="1" applyAlignment="1">
      <alignment horizontal="left" vertical="center"/>
    </xf>
    <xf numFmtId="0" fontId="9" fillId="1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DEAD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AF2B8"/>
      <rgbColor rgb="FFDBEEF4"/>
      <rgbColor rgb="FF660066"/>
      <rgbColor rgb="FFD99694"/>
      <rgbColor rgb="FF0563C1"/>
      <rgbColor rgb="FFF2DC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CE4D6"/>
      <rgbColor rgb="FF93CDDD"/>
      <rgbColor rgb="FFFF99CC"/>
      <rgbColor rgb="FFCC99FF"/>
      <rgbColor rgb="FFFAC090"/>
      <rgbColor rgb="FF3366FF"/>
      <rgbColor rgb="FF33CCCC"/>
      <rgbColor rgb="FF9BBB59"/>
      <rgbColor rgb="FFF1DC3D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D8A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youtube.com/watch?v=NwWiRoD_j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C106" sqref="C106"/>
    </sheetView>
  </sheetViews>
  <sheetFormatPr defaultColWidth="40" defaultRowHeight="13.2" x14ac:dyDescent="0.25"/>
  <cols>
    <col min="1" max="1" width="9.88671875" style="1" customWidth="1"/>
    <col min="2" max="2" width="70.109375" style="1" customWidth="1"/>
    <col min="3" max="3" width="53.88671875" style="2" customWidth="1"/>
    <col min="4" max="4" width="87.109375" style="1" customWidth="1"/>
    <col min="5" max="5" width="14.6640625" style="1" customWidth="1"/>
    <col min="6" max="6" width="25.77734375" style="1" customWidth="1"/>
    <col min="7" max="7" width="63" style="1" customWidth="1"/>
    <col min="8" max="8" width="50.88671875" style="3" customWidth="1"/>
    <col min="9" max="9" width="52.6640625" style="3" bestFit="1" customWidth="1"/>
    <col min="10" max="10" width="45.33203125" style="3" bestFit="1" customWidth="1"/>
    <col min="11" max="11" width="4.5546875" style="1" customWidth="1"/>
    <col min="12" max="16384" width="40" style="1"/>
  </cols>
  <sheetData>
    <row r="1" spans="1:11" s="5" customFormat="1" ht="51" customHeight="1" x14ac:dyDescent="0.3">
      <c r="A1" s="4"/>
      <c r="B1" s="49" t="s">
        <v>0</v>
      </c>
      <c r="C1" s="49" t="s">
        <v>1</v>
      </c>
      <c r="D1" s="49" t="s">
        <v>2</v>
      </c>
      <c r="E1" s="48" t="s">
        <v>3</v>
      </c>
      <c r="F1" s="47" t="s">
        <v>4</v>
      </c>
      <c r="G1" s="55" t="s">
        <v>375</v>
      </c>
      <c r="H1" s="55" t="s">
        <v>376</v>
      </c>
      <c r="I1" s="55" t="s">
        <v>5</v>
      </c>
      <c r="J1" s="55" t="s">
        <v>6</v>
      </c>
      <c r="K1" s="53"/>
    </row>
    <row r="2" spans="1:11" s="18" customFormat="1" ht="13.2" customHeight="1" x14ac:dyDescent="0.3">
      <c r="A2" s="16" t="s">
        <v>7</v>
      </c>
      <c r="B2" s="16" t="s">
        <v>8</v>
      </c>
      <c r="C2" s="17" t="s">
        <v>9</v>
      </c>
      <c r="D2" s="16"/>
      <c r="E2" s="16"/>
      <c r="F2" s="16"/>
      <c r="G2" s="16"/>
      <c r="H2" s="6"/>
      <c r="I2" s="6"/>
      <c r="J2" s="6"/>
      <c r="K2" s="54"/>
    </row>
    <row r="3" spans="1:11" s="18" customFormat="1" ht="13.2" customHeight="1" x14ac:dyDescent="0.3">
      <c r="A3" s="19" t="s">
        <v>10</v>
      </c>
      <c r="B3" s="6" t="s">
        <v>11</v>
      </c>
      <c r="C3" s="7" t="s">
        <v>12</v>
      </c>
      <c r="D3" s="19" t="s">
        <v>13</v>
      </c>
      <c r="E3" s="20" t="s">
        <v>14</v>
      </c>
      <c r="F3" s="19"/>
      <c r="G3" s="21" t="str">
        <f>HYPERLINK("https://econedlink.org/resources/how-to-become-a-millionaire/","How to Become a Millionaire")</f>
        <v>How to Become a Millionaire</v>
      </c>
      <c r="H3" s="21" t="str">
        <f>HYPERLINK("https://econedlink.org/wp-content/uploads/2019/06/Lesson-1-How-To-Become-a-Millionaire-Student-Handout.pdf","Millionaire Handout")</f>
        <v>Millionaire Handout</v>
      </c>
      <c r="I3" s="21" t="str">
        <f>HYPERLINK("https://www.stlouisfed.org/education/economic-literacy-video","Economic Literacy for Life — Course Introduction")</f>
        <v>Economic Literacy for Life — Course Introduction</v>
      </c>
      <c r="J3" s="21" t="str">
        <f>HYPERLINK("https://www.youtube.com/watch?v=3pK7kZ7Z6rA","Nate Bargatze: Money and Responsibility")</f>
        <v>Nate Bargatze: Money and Responsibility</v>
      </c>
      <c r="K3" s="54"/>
    </row>
    <row r="4" spans="1:11" s="18" customFormat="1" ht="13.2" customHeight="1" x14ac:dyDescent="0.3">
      <c r="A4" s="19" t="s">
        <v>15</v>
      </c>
      <c r="B4" s="6" t="s">
        <v>16</v>
      </c>
      <c r="C4" s="7" t="s">
        <v>12</v>
      </c>
      <c r="D4" s="19" t="s">
        <v>17</v>
      </c>
      <c r="E4" s="20" t="s">
        <v>14</v>
      </c>
      <c r="F4" s="19" t="s">
        <v>18</v>
      </c>
      <c r="G4" s="21" t="str">
        <f>HYPERLINK("https://catalog.fdic.gov/catalog/sfc/servlet.shepherd/document/download/069SJ00000n8wiuYAA","Money Smart: Designing Dreams")</f>
        <v>Money Smart: Designing Dreams</v>
      </c>
      <c r="H4" s="21" t="str">
        <f>HYPERLINK("https://www.consumerfinance.gov/consumer-tools/educator-tools/youth-financial-education/teach/activities/reflecting-whats-worth-saving/","CFPB: Reflecting on What’s Worth Saving For")</f>
        <v>CFPB: Reflecting on What’s Worth Saving For</v>
      </c>
      <c r="I4" s="21" t="str">
        <f>HYPERLINK("https://www.youtube.com/watch?v=NwWiRoD_jYY","Khan Academy: S.M.A.R.T. Goals")</f>
        <v>Khan Academy: S.M.A.R.T. Goals</v>
      </c>
      <c r="J4" s="21" t="str">
        <f>HYPERLINK("https://www.youtube.com/watch?v=Q2Xk3J7s9eM","Sesame Street: Bert and Ernie Save for a Trip")</f>
        <v>Sesame Street: Bert and Ernie Save for a Trip</v>
      </c>
      <c r="K4" s="54"/>
    </row>
    <row r="5" spans="1:11" s="18" customFormat="1" ht="13.2" customHeight="1" x14ac:dyDescent="0.3">
      <c r="A5" s="19" t="s">
        <v>19</v>
      </c>
      <c r="B5" s="6" t="s">
        <v>20</v>
      </c>
      <c r="C5" s="7" t="s">
        <v>12</v>
      </c>
      <c r="D5" s="19" t="s">
        <v>21</v>
      </c>
      <c r="E5" s="20" t="s">
        <v>22</v>
      </c>
      <c r="F5" s="19" t="s">
        <v>23</v>
      </c>
      <c r="G5" s="21" t="str">
        <f>HYPERLINK("https://econiful.org/curriculum/unit-5-personal-finance-public","Econiful 5.5: Making Informed Career Decisions")</f>
        <v>Econiful 5.5: Making Informed Career Decisions</v>
      </c>
      <c r="H5" s="21" t="str">
        <f>HYPERLINK("https://www.mynextmove.org/explore/ip","O*NET Interest Profiler")</f>
        <v>O*NET Interest Profiler</v>
      </c>
      <c r="I5" s="21" t="str">
        <f>HYPERLINK("https://www.youtube.com/watch?v=QEpkJoD21Qw","Council for Economic Education: Human Capital")</f>
        <v>Council for Economic Education: Human Capital</v>
      </c>
      <c r="J5" s="21" t="str">
        <f>HYPERLINK("https://www.youtube.com/watch?v=9C6Vh5O7Z4E","SpongeBob: Krusty Krab Training Video")</f>
        <v>SpongeBob: Krusty Krab Training Video</v>
      </c>
      <c r="K5" s="54"/>
    </row>
    <row r="6" spans="1:11" s="18" customFormat="1" ht="13.2" customHeight="1" x14ac:dyDescent="0.3">
      <c r="A6" s="19" t="s">
        <v>24</v>
      </c>
      <c r="B6" s="6" t="s">
        <v>25</v>
      </c>
      <c r="C6" s="7" t="s">
        <v>12</v>
      </c>
      <c r="D6" s="19" t="s">
        <v>26</v>
      </c>
      <c r="E6" s="20" t="s">
        <v>27</v>
      </c>
      <c r="F6" s="19" t="s">
        <v>28</v>
      </c>
      <c r="G6" s="21" t="str">
        <f>HYPERLINK("https://econiful.org/curriculum/unit-5-personal-finance-public#5-8","Econiful 5.8: An Introduction to Budgeting")</f>
        <v>Econiful 5.8: An Introduction to Budgeting</v>
      </c>
      <c r="H6" s="21" t="str">
        <f>HYPERLINK("https://www.consumerfinance.gov/consumer-tools/educator-tools/youth-financial-education/teach/activities/reflecting-needs-versus-wants/","Reflecting on Needs Versus Wants")</f>
        <v>Reflecting on Needs Versus Wants</v>
      </c>
      <c r="I6" s="21" t="str">
        <f>HYPERLINK("https://www.federalreserveeducation.org/teaching-resources/personal-finance/spending-budgeting/budgeting-101","Budgeting 101 — Introduction")</f>
        <v>Budgeting 101 — Introduction</v>
      </c>
      <c r="J6" s="21" t="str">
        <f>HYPERLINK("https://www.youtube.com/watch?v=Vq2B8F4Zp2Y","Nate Bargatze: The Value of Money")</f>
        <v>Nate Bargatze: The Value of Money</v>
      </c>
      <c r="K6" s="54"/>
    </row>
    <row r="7" spans="1:11" s="18" customFormat="1" ht="13.2" customHeight="1" x14ac:dyDescent="0.3">
      <c r="A7" s="19" t="s">
        <v>29</v>
      </c>
      <c r="B7" s="6" t="s">
        <v>30</v>
      </c>
      <c r="C7" s="7" t="s">
        <v>12</v>
      </c>
      <c r="D7" s="19" t="s">
        <v>31</v>
      </c>
      <c r="E7" s="20" t="s">
        <v>32</v>
      </c>
      <c r="F7" s="19" t="s">
        <v>33</v>
      </c>
      <c r="G7" s="21" t="str">
        <f>HYPERLINK("https://www.federalreserveeducation.org/teaching-resources/personal-finance/spending-budgeting/budget-trade-offs-a-penny-here-and-a-penny-there-lesson-5b","A Penny Here and a Penny There")</f>
        <v>A Penny Here and a Penny There</v>
      </c>
      <c r="H7" s="21" t="str">
        <f>HYPERLINK("https://www.consumerfinance.gov/consumer-tools/educator-tools/youth-financial-education/teach/activities/spending-scenarios/","Spending Scenarios")</f>
        <v>Spending Scenarios</v>
      </c>
      <c r="I7" s="21" t="str">
        <f>HYPERLINK("https://www.federalreserveeducation.org/teaching-resources/economics/decision-making/the-paced-decision-making-model-video","PACED Decision-Making Model — Introduction")</f>
        <v>PACED Decision-Making Model — Introduction</v>
      </c>
      <c r="J7" s="21" t="str">
        <f>HYPERLINK("https://www.youtube.com/watch?v=7g7hWZQw6bM","Jim Gaffigan: Food Choices")</f>
        <v>Jim Gaffigan: Food Choices</v>
      </c>
      <c r="K7" s="54"/>
    </row>
    <row r="8" spans="1:11" s="18" customFormat="1" ht="13.2" customHeight="1" x14ac:dyDescent="0.3">
      <c r="A8" s="16" t="s">
        <v>34</v>
      </c>
      <c r="B8" s="16" t="s">
        <v>8</v>
      </c>
      <c r="C8" s="17" t="s">
        <v>9</v>
      </c>
      <c r="D8" s="16"/>
      <c r="E8" s="16"/>
      <c r="F8" s="16"/>
      <c r="G8" s="16"/>
      <c r="H8" s="6"/>
      <c r="I8" s="6"/>
      <c r="J8" s="6"/>
      <c r="K8" s="54"/>
    </row>
    <row r="9" spans="1:11" s="18" customFormat="1" ht="13.2" customHeight="1" x14ac:dyDescent="0.3">
      <c r="A9" s="19" t="s">
        <v>35</v>
      </c>
      <c r="B9" s="6" t="s">
        <v>36</v>
      </c>
      <c r="C9" s="7" t="s">
        <v>37</v>
      </c>
      <c r="D9" s="19" t="s">
        <v>38</v>
      </c>
      <c r="E9" s="19" t="s">
        <v>32</v>
      </c>
      <c r="F9" s="19" t="s">
        <v>18</v>
      </c>
      <c r="G9" s="21" t="str">
        <f>HYPERLINK("https://www.federalreserveeducation.org/teaching-resources/personal-finance/spending-budgeting/making-a-budget-it-is-all-spending-lesson-5a","Making a Budget—It Is All Spending!")</f>
        <v>Making a Budget—It Is All Spending!</v>
      </c>
      <c r="H9" s="21" t="str">
        <f>HYPERLINK("https://www.consumerfinance.gov/consumer-tools/educator-tools/youth-financial-education/teach/activities/learning-about-budgets/","Learning About Budgets")</f>
        <v>Learning About Budgets</v>
      </c>
      <c r="I9" s="21" t="str">
        <f>HYPERLINK("https://www.pbs.org/video/budgeting-basics-frsgla/","PBS Two Cents: Budgeting Basics")</f>
        <v>PBS Two Cents: Budgeting Basics</v>
      </c>
      <c r="J9" s="19"/>
      <c r="K9" s="54"/>
    </row>
    <row r="10" spans="1:11" s="18" customFormat="1" ht="13.2" customHeight="1" x14ac:dyDescent="0.3">
      <c r="A10" s="19" t="s">
        <v>39</v>
      </c>
      <c r="B10" s="6" t="s">
        <v>40</v>
      </c>
      <c r="C10" s="7" t="s">
        <v>37</v>
      </c>
      <c r="D10" s="19" t="s">
        <v>41</v>
      </c>
      <c r="E10" s="19" t="s">
        <v>32</v>
      </c>
      <c r="F10" s="19" t="s">
        <v>18</v>
      </c>
      <c r="G10" s="21" t="str">
        <f>HYPERLINK("https://www.federalreserveeducation.org/teaching-resources/personal-finance/spending-budgeting/keys-reality-check-the-life-you-can-afford","Reality Check: The Life You Can Afford")</f>
        <v>Reality Check: The Life You Can Afford</v>
      </c>
      <c r="H10" s="21" t="str">
        <f>HYPERLINK("https://catalog.fdic.gov/catalog/sfc/servlet.shepherd/document/download/069SJ00000n9DN0YAM","Money Smart: Can You Pay Your Bills? — Selected Activity")</f>
        <v>Money Smart: Can You Pay Your Bills? — Selected Activity</v>
      </c>
      <c r="I10" s="21" t="str">
        <f>HYPERLINK("https://www.federalreserveeducation.org/teaching-resources/personal-finance/spending-budgeting/budgeting-101","Budgeting 101 — Revisit: Applying Spending Trade-Offs")</f>
        <v>Budgeting 101 — Revisit: Applying Spending Trade-Offs</v>
      </c>
      <c r="J10" s="21" t="str">
        <f>HYPERLINK("https://www.youtube.com/watch?v=n3vVjeyxwlc","Friends: The One with Five Steaks and an Eggplant")</f>
        <v>Friends: The One with Five Steaks and an Eggplant</v>
      </c>
      <c r="K10" s="54"/>
    </row>
    <row r="11" spans="1:11" s="18" customFormat="1" ht="13.2" customHeight="1" x14ac:dyDescent="0.3">
      <c r="A11" s="19" t="s">
        <v>42</v>
      </c>
      <c r="B11" s="6" t="s">
        <v>43</v>
      </c>
      <c r="C11" s="7" t="s">
        <v>37</v>
      </c>
      <c r="D11" s="19" t="s">
        <v>44</v>
      </c>
      <c r="E11" s="19" t="s">
        <v>27</v>
      </c>
      <c r="F11" s="19" t="s">
        <v>45</v>
      </c>
      <c r="G11" s="21" t="str">
        <f>HYPERLINK("https://econedlink.org/resources/opportunity-cost/","Opportunity Cost")</f>
        <v>Opportunity Cost</v>
      </c>
      <c r="H11" s="21" t="str">
        <f>HYPERLINK("https://econedlink.org/resources/applying-discounting-and-present-bias-to-decision-making/","Applying Discounting and Present Bias to Decision Making")</f>
        <v>Applying Discounting and Present Bias to Decision Making</v>
      </c>
      <c r="I11" s="21" t="str">
        <f>HYPERLINK("https://www.khanacademy.org/economics-finance-domain/personal-finance-and-money-management-fl-b-e-s-t/xfa820e231e9960fa%3Afinancial-goals/xfa820e231e9960fa%3Amoney-personality/v/psychology-of-money-part-1","Psychology of Money: Part 1")</f>
        <v>Psychology of Money: Part 1</v>
      </c>
      <c r="J11" s="21" t="str">
        <f>HYPERLINK("https://www.youtube.com/watch?v=KSk3FGoAyH8","The Twilight Zone: The Fever")</f>
        <v>The Twilight Zone: The Fever</v>
      </c>
      <c r="K11" s="54"/>
    </row>
    <row r="12" spans="1:11" s="18" customFormat="1" ht="13.2" customHeight="1" x14ac:dyDescent="0.3">
      <c r="A12" s="19" t="s">
        <v>46</v>
      </c>
      <c r="B12" s="6" t="s">
        <v>47</v>
      </c>
      <c r="C12" s="7" t="s">
        <v>37</v>
      </c>
      <c r="D12" s="19" t="s">
        <v>48</v>
      </c>
      <c r="E12" s="19" t="s">
        <v>49</v>
      </c>
      <c r="F12" s="19" t="s">
        <v>50</v>
      </c>
      <c r="G12" s="21" t="str">
        <f>HYPERLINK("https://www.consumerfinance.gov/consumer-tools/educator-tools/youth-financial-education/teach/activities/managing-credit-card-payments/","Managing Credit Card Payments")</f>
        <v>Managing Credit Card Payments</v>
      </c>
      <c r="H12" s="21" t="str">
        <f>HYPERLINK("https://www.consumerfinance.gov/consumer-tools/educator-tools/youth-financial-education/teach/activities/understanding-minimum-payments/","Understanding Minimum Payments")</f>
        <v>Understanding Minimum Payments</v>
      </c>
      <c r="I12" s="21" t="str">
        <f>HYPERLINK("https://en.khanacademy.org/college-careers-more/financial-literacy/xa6995ea67a8e9fdd%3Aconsumer-credit/xa6995ea67a8e9fdd%3Acredit-cards/v/reading-a-credit-card-statement","Khan Academy: Reading a Credit Card Statement")</f>
        <v>Khan Academy: Reading a Credit Card Statement</v>
      </c>
      <c r="J12" s="21" t="str">
        <f>HYPERLINK("https://www.youtube.com/watch?v=4bZcYzqF8aE","Nate Bargatze: Credit Cards")</f>
        <v>Nate Bargatze: Credit Cards</v>
      </c>
      <c r="K12" s="54"/>
    </row>
    <row r="13" spans="1:11" s="18" customFormat="1" ht="13.2" customHeight="1" x14ac:dyDescent="0.3">
      <c r="A13" s="19" t="s">
        <v>51</v>
      </c>
      <c r="B13" s="6" t="s">
        <v>52</v>
      </c>
      <c r="C13" s="7" t="s">
        <v>37</v>
      </c>
      <c r="D13" s="19" t="s">
        <v>53</v>
      </c>
      <c r="E13" s="19" t="s">
        <v>54</v>
      </c>
      <c r="F13" s="19" t="s">
        <v>55</v>
      </c>
      <c r="G13" s="21" t="str">
        <f>HYPERLINK("https://econedlink.org/resources/behavioral-economics-lesson-three-loss-aversion-endowment-effects-and-default-bias/","Behavioral Economics: Loss Aversion, Endowment Effects, and Default Bias")</f>
        <v>Behavioral Economics: Loss Aversion, Endowment Effects, and Default Bias</v>
      </c>
      <c r="H13" s="21" t="str">
        <f>HYPERLINK("https://www.consumerfinance.gov/consumer-tools/educator-tools/youth-financial-education/teach/activities/saving-each-payday/","CFPB: Saving Each Payday")</f>
        <v>CFPB: Saving Each Payday</v>
      </c>
      <c r="I13" s="21" t="str">
        <f>HYPERLINK("https://www.khanacademy.org/college-careers-more/critical-thinking-metacognition/x93d32ddf51f9fd5b%3Acritical-thinking/x93d32ddf51f9fd5b%3Acognitive-biases/v/reference-dependence-loss-aversion","Cognitive Biases: Reference Dependence and Loss Aversion")</f>
        <v>Cognitive Biases: Reference Dependence and Loss Aversion</v>
      </c>
      <c r="J13" s="21" t="str">
        <f>HYPERLINK("https://www.youtube.com/watch?v=bU5kqaB8Aak","Sesame Street: Elmo on Saving Money")</f>
        <v>Sesame Street: Elmo on Saving Money</v>
      </c>
      <c r="K13" s="54"/>
    </row>
    <row r="14" spans="1:11" s="18" customFormat="1" ht="13.2" customHeight="1" x14ac:dyDescent="0.3">
      <c r="A14" s="16" t="s">
        <v>56</v>
      </c>
      <c r="B14" s="16" t="s">
        <v>8</v>
      </c>
      <c r="C14" s="17" t="s">
        <v>9</v>
      </c>
      <c r="D14" s="16"/>
      <c r="E14" s="16"/>
      <c r="F14" s="16"/>
      <c r="G14" s="16"/>
      <c r="H14" s="6"/>
      <c r="I14" s="6"/>
      <c r="J14" s="6"/>
      <c r="K14" s="54"/>
    </row>
    <row r="15" spans="1:11" s="18" customFormat="1" ht="13.2" customHeight="1" x14ac:dyDescent="0.3">
      <c r="A15" s="19" t="s">
        <v>57</v>
      </c>
      <c r="B15" s="6" t="s">
        <v>58</v>
      </c>
      <c r="C15" s="7" t="s">
        <v>37</v>
      </c>
      <c r="D15" s="19" t="s">
        <v>59</v>
      </c>
      <c r="E15" s="19" t="s">
        <v>60</v>
      </c>
      <c r="F15" s="19" t="s">
        <v>61</v>
      </c>
      <c r="G15" s="21" t="str">
        <f>HYPERLINK("https://econedlink.org/resources/behavioral-economics-lesson-two-the-anchoring-effect/","Behavioral Economics: The Anchoring Effect")</f>
        <v>Behavioral Economics: The Anchoring Effect</v>
      </c>
      <c r="H15" s="21" t="str">
        <f>HYPERLINK("https://econedlink.org/resources/behavioral-economics-lesson-one-introduction-to-behavioral-economics/?view=teacher","Introduction to Behavioral Economics")</f>
        <v>Introduction to Behavioral Economics</v>
      </c>
      <c r="I15" s="21" t="str">
        <f>HYPERLINK("https://www.khanacademy.org/college-careers-more/critical-thinking-metacognition/x93d32ddf51f9fd5b%3Acritical-thinking/x93d32ddf51f9fd5b%3Acognitive-biases/v/anchoring","Cognitive Biases: Anchoring")</f>
        <v>Cognitive Biases: Anchoring</v>
      </c>
      <c r="J15" s="21" t="str">
        <f>HYPERLINK("https://www.youtube.com/watch?v=8vQ6xW2mN4Y","Get Smart: Aboard the Orient Express")</f>
        <v>Get Smart: Aboard the Orient Express</v>
      </c>
      <c r="K15" s="54"/>
    </row>
    <row r="16" spans="1:11" s="18" customFormat="1" ht="13.2" customHeight="1" x14ac:dyDescent="0.3">
      <c r="A16" s="19" t="s">
        <v>62</v>
      </c>
      <c r="B16" s="6" t="s">
        <v>63</v>
      </c>
      <c r="C16" s="7" t="s">
        <v>64</v>
      </c>
      <c r="D16" s="19" t="s">
        <v>65</v>
      </c>
      <c r="E16" s="7">
        <v>1</v>
      </c>
      <c r="F16" s="7" t="s">
        <v>66</v>
      </c>
      <c r="G16" s="21" t="str">
        <f>HYPERLINK("https://www.federalreserveeducation.org/teaching-resources/personal-finance/saving/keys-financial-institutions","Financial Institutions")</f>
        <v>Financial Institutions</v>
      </c>
      <c r="H16" s="21" t="str">
        <f>HYPERLINK("https://www.consumerfinance.gov/consumer-tools/educator-tools/youth-financial-education/teach/activities/banking-basics-card-game/","Banking Basics Card Game")</f>
        <v>Banking Basics Card Game</v>
      </c>
      <c r="I16" s="21" t="str">
        <f>HYPERLINK("https://www.federalreserveeducation.org/teaching-resources/personal-finance/managing-credit/banks-and-alternatives-101-intro","Banks and Alternatives 101 — Financial Institution Basics")</f>
        <v>Banks and Alternatives 101 — Financial Institution Basics</v>
      </c>
      <c r="J16" s="21" t="str">
        <f>HYPERLINK("https://www.youtube.com/playlist?list=PLmHlURUs5fSqVE_nEard4q46ztQZ6tZnJ","George Burns and Gracie Allen: Gracie's Checking Account")</f>
        <v>George Burns and Gracie Allen: Gracie's Checking Account</v>
      </c>
      <c r="K16" s="54"/>
    </row>
    <row r="17" spans="1:11" s="18" customFormat="1" ht="13.2" customHeight="1" x14ac:dyDescent="0.3">
      <c r="A17" s="19" t="s">
        <v>67</v>
      </c>
      <c r="B17" s="6" t="s">
        <v>68</v>
      </c>
      <c r="C17" s="7" t="s">
        <v>64</v>
      </c>
      <c r="D17" s="19" t="s">
        <v>69</v>
      </c>
      <c r="E17" s="7" t="s">
        <v>70</v>
      </c>
      <c r="F17" s="7" t="s">
        <v>71</v>
      </c>
      <c r="G17" s="21" t="str">
        <f>HYPERLINK("https://www.federalreserveeducation.org/teaching-resources/personal-finance/spending-budgeting/banking-on-debit-cards","Banking on Debit Cards")</f>
        <v>Banking on Debit Cards</v>
      </c>
      <c r="H17" s="21" t="str">
        <f>HYPERLINK("https://www.federalreserveeducation.org/teaching-resources/personal-finance/banks-interest-rates/checking-and-savings-accounts-its-your-paycheck-lesson-3","Checking and Savings Accounts")</f>
        <v>Checking and Savings Accounts</v>
      </c>
      <c r="I17" s="21" t="str">
        <f>HYPERLINK("https://www.khanacademy.org/economics-finance-domain/financial-literacy-tx-teks/xcd7d2ec30b6e2dc1%3Aconsumer-credit/xcd7d2ec30b6e2dc1%3Apayment-methods/v/digital-payment-methods","Khan Academy: Digital Payment Methods")</f>
        <v>Khan Academy: Digital Payment Methods</v>
      </c>
      <c r="J17" s="7"/>
      <c r="K17" s="54"/>
    </row>
    <row r="18" spans="1:11" s="18" customFormat="1" ht="13.2" customHeight="1" x14ac:dyDescent="0.3">
      <c r="A18" s="19" t="s">
        <v>72</v>
      </c>
      <c r="B18" s="6" t="s">
        <v>73</v>
      </c>
      <c r="C18" s="7" t="s">
        <v>64</v>
      </c>
      <c r="D18" s="19" t="s">
        <v>74</v>
      </c>
      <c r="E18" s="7" t="s">
        <v>70</v>
      </c>
      <c r="F18" s="7" t="s">
        <v>75</v>
      </c>
      <c r="G18" s="21" t="str">
        <f>HYPERLINK("https://catalog.fdic.gov/catalog/sfc/servlet.shepherd/document/download/069SJ00000n8pEJYAY","Bank Your Bucks")</f>
        <v>Bank Your Bucks</v>
      </c>
      <c r="H18" s="21" t="str">
        <f>HYPERLINK("https://catalog.fdic.gov/catalog/sfc/servlet.shepherd/document/download/069SJ00000n8pEJYAY","Money Smart: Bank Your Bucks — Selected Activity")</f>
        <v>Money Smart: Bank Your Bucks — Selected Activity</v>
      </c>
      <c r="I18" s="21" t="str">
        <f>HYPERLINK("https://www.federalreserveeducation.org/teaching-resources/personal-finance/spending-budgeting/banks-and-alternatives-101-fees-fees-and-more-fees-it-all-adds-up","Banks and Alternatives 101: Fees, Fees and More Fees")</f>
        <v>Banks and Alternatives 101: Fees, Fees and More Fees</v>
      </c>
      <c r="J18" s="21" t="str">
        <f>HYPERLINK("https://www.youtube.com/watch?v=Qq7m8V5y2nA","Brian Regan: Late Fees")</f>
        <v>Brian Regan: Late Fees</v>
      </c>
      <c r="K18" s="54"/>
    </row>
    <row r="19" spans="1:11" s="18" customFormat="1" ht="13.2" customHeight="1" x14ac:dyDescent="0.3">
      <c r="A19" s="19" t="s">
        <v>76</v>
      </c>
      <c r="B19" s="6" t="s">
        <v>77</v>
      </c>
      <c r="C19" s="7"/>
      <c r="D19" s="19" t="s">
        <v>78</v>
      </c>
      <c r="E19" s="19" t="s">
        <v>79</v>
      </c>
      <c r="F19" s="19" t="s">
        <v>80</v>
      </c>
      <c r="G19" s="21" t="str">
        <f>HYPERLINK("https://www.federalreserveeducation.org/teaching-resources/personal-finance/spending-budgeting/making-choices-and-identifying-costs-lesson-1b","Making Choices and Identifying Costs")</f>
        <v>Making Choices and Identifying Costs</v>
      </c>
      <c r="H19" s="21" t="str">
        <f>HYPERLINK("https://www.fdic.gov/consumer-resource-center/grades-9-12","Pocket Giving")</f>
        <v>Pocket Giving</v>
      </c>
      <c r="I19" s="21" t="str">
        <f>HYPERLINK("https://www.federalreserveeducation.org/teaching-resources/economics/decision-making/the-paced-decision-making-model-video","PACED Decision-Making Model — Revisit: Values &amp; Giving Decisions")</f>
        <v>PACED Decision-Making Model — Revisit: Values &amp; Giving Decisions</v>
      </c>
      <c r="J19" s="21" t="str">
        <f>HYPERLINK("https://www.youtube.com/watch?v=5Yc8S5Q8n7o","Curb Your Enthusiasm: The Survivor")</f>
        <v>Curb Your Enthusiasm: The Survivor</v>
      </c>
      <c r="K19" s="54"/>
    </row>
    <row r="20" spans="1:11" s="18" customFormat="1" ht="13.2" customHeight="1" x14ac:dyDescent="0.3">
      <c r="A20" s="22" t="s">
        <v>81</v>
      </c>
      <c r="B20" s="22" t="s">
        <v>82</v>
      </c>
      <c r="C20" s="23" t="s">
        <v>83</v>
      </c>
      <c r="D20" s="22"/>
      <c r="E20" s="22"/>
      <c r="F20" s="22"/>
      <c r="G20" s="22"/>
      <c r="H20" s="8"/>
      <c r="I20" s="8"/>
      <c r="J20" s="8"/>
      <c r="K20" s="54"/>
    </row>
    <row r="21" spans="1:11" s="18" customFormat="1" ht="13.2" customHeight="1" x14ac:dyDescent="0.3">
      <c r="A21" s="24" t="s">
        <v>84</v>
      </c>
      <c r="B21" s="8" t="s">
        <v>85</v>
      </c>
      <c r="C21" s="9" t="s">
        <v>86</v>
      </c>
      <c r="D21" s="24" t="s">
        <v>87</v>
      </c>
      <c r="E21" s="24" t="s">
        <v>88</v>
      </c>
      <c r="F21" s="24" t="s">
        <v>89</v>
      </c>
      <c r="G21" s="25" t="str">
        <f>HYPERLINK("https://www.investinwhatsnext.org/","Invest in What's Next — Part 1 of 3: Exploring My Options")</f>
        <v>Invest in What's Next — Part 1 of 3: Exploring My Options</v>
      </c>
      <c r="H21" s="26" t="str">
        <f>HYPERLINK("https://www.bls.gov/ooh/","Occupational Outlook Handbook")</f>
        <v>Occupational Outlook Handbook</v>
      </c>
      <c r="I21" s="25" t="str">
        <f>HYPERLINK("https://www.federalreserveeducation.org/teaching-resources/personal-finance/investing/life-goals","Life Goals — Career &amp; Education Pathways")</f>
        <v>Life Goals — Career &amp; Education Pathways</v>
      </c>
      <c r="J21" s="25" t="str">
        <f>HYPERLINK("https://www.youtube.com/watch?v=z1CphY4ik3c","Monty Python: Vocational Guidance Counsellor")</f>
        <v>Monty Python: Vocational Guidance Counsellor</v>
      </c>
      <c r="K21" s="54"/>
    </row>
    <row r="22" spans="1:11" s="18" customFormat="1" ht="13.2" customHeight="1" x14ac:dyDescent="0.3">
      <c r="A22" s="24" t="s">
        <v>90</v>
      </c>
      <c r="B22" s="8" t="s">
        <v>85</v>
      </c>
      <c r="C22" s="9" t="s">
        <v>86</v>
      </c>
      <c r="D22" s="24" t="s">
        <v>91</v>
      </c>
      <c r="E22" s="24" t="s">
        <v>88</v>
      </c>
      <c r="F22" s="24" t="s">
        <v>89</v>
      </c>
      <c r="G22" s="25" t="str">
        <f>HYPERLINK("https://www.investinwhatsnext.org/","Invest in What's Next — Part 2 of 3: Budgeting for My Future")</f>
        <v>Invest in What's Next — Part 2 of 3: Budgeting for My Future</v>
      </c>
      <c r="H22" s="26" t="str">
        <f>HYPERLINK("https://www.bls.gov/careeroutlook/2025/data-on-display/education-pays.htm","Education Pays")</f>
        <v>Education Pays</v>
      </c>
      <c r="I22" s="25" t="str">
        <f>HYPERLINK("https://www.federalreserveeducation.org/teaching-resources/personal-finance/saving/saving-for-college","Saving for College")</f>
        <v>Saving for College</v>
      </c>
      <c r="J22" s="25" t="str">
        <f>HYPERLINK("https://www.youtube.com/watch?v=3Y6G7G7n5kQ","Family Guy: Brian Goes Back to College")</f>
        <v>Family Guy: Brian Goes Back to College</v>
      </c>
      <c r="K22" s="54"/>
    </row>
    <row r="23" spans="1:11" s="18" customFormat="1" ht="13.2" customHeight="1" x14ac:dyDescent="0.3">
      <c r="A23" s="24" t="s">
        <v>92</v>
      </c>
      <c r="B23" s="8" t="s">
        <v>85</v>
      </c>
      <c r="C23" s="9" t="s">
        <v>86</v>
      </c>
      <c r="D23" s="24" t="s">
        <v>93</v>
      </c>
      <c r="E23" s="24" t="s">
        <v>88</v>
      </c>
      <c r="F23" s="24" t="s">
        <v>89</v>
      </c>
      <c r="G23" s="25" t="str">
        <f>HYPERLINK("https://www.investinwhatsnext.org/","Invest in What's Next — Part 3 of 3: Evaluating My Plan")</f>
        <v>Invest in What's Next — Part 3 of 3: Evaluating My Plan</v>
      </c>
      <c r="H23" s="26" t="str">
        <f>HYPERLINK("https://collegescorecard.ed.gov/","College Scorecard — Initial Exploration")</f>
        <v>College Scorecard — Initial Exploration</v>
      </c>
      <c r="I23" s="25" t="str">
        <f>HYPERLINK("https://www.federalreserveeducation.org/teaching-resources/personal-finance/earning-income/college-choice-101-choosing-the-right-college-for-you","College Choice 101 — Initial Postsecondary Plan Check")</f>
        <v>College Choice 101 — Initial Postsecondary Plan Check</v>
      </c>
      <c r="J23" s="24"/>
      <c r="K23" s="54"/>
    </row>
    <row r="24" spans="1:11" s="18" customFormat="1" ht="13.2" customHeight="1" x14ac:dyDescent="0.3">
      <c r="A24" s="24" t="s">
        <v>94</v>
      </c>
      <c r="B24" s="8" t="s">
        <v>95</v>
      </c>
      <c r="C24" s="9" t="s">
        <v>86</v>
      </c>
      <c r="D24" s="24" t="s">
        <v>96</v>
      </c>
      <c r="E24" s="24" t="s">
        <v>97</v>
      </c>
      <c r="F24" s="24" t="s">
        <v>98</v>
      </c>
      <c r="G24" s="25" t="str">
        <f>HYPERLINK("https://www.dol.gov/agencies/whd/fact-sheets/13-flsa-employment-relationship","Employee or Independent Contractor?")</f>
        <v>Employee or Independent Contractor?</v>
      </c>
      <c r="H24" s="26" t="str">
        <f>HYPERLINK("https://apps.irs.gov/app/understandingTaxes/teacher/hows_mod14.jsp","IRS Understanding Taxes — Self-Employment Tax (Reference)")</f>
        <v>IRS Understanding Taxes — Self-Employment Tax (Reference)</v>
      </c>
      <c r="I24" s="26" t="str">
        <f>HYPERLINK("https://www.federalreserveeducation.org/teaching-resources/personal-finance/earning-income/understanding-your-pay-stub","Understanding Your Pay Stub — W-2 Employment Contrast")</f>
        <v>Understanding Your Pay Stub — W-2 Employment Contrast</v>
      </c>
      <c r="J24" s="26" t="str">
        <f>HYPERLINK("https://www.youtube.com/watch?v=Mh85R-S-dh8","Sesame Street: Ernie's Rubber Duckie Business")</f>
        <v>Sesame Street: Ernie's Rubber Duckie Business</v>
      </c>
      <c r="K24" s="54"/>
    </row>
    <row r="25" spans="1:11" s="18" customFormat="1" ht="13.2" customHeight="1" x14ac:dyDescent="0.3">
      <c r="A25" s="24" t="s">
        <v>99</v>
      </c>
      <c r="B25" s="8" t="s">
        <v>100</v>
      </c>
      <c r="C25" s="9" t="s">
        <v>86</v>
      </c>
      <c r="D25" s="24" t="s">
        <v>101</v>
      </c>
      <c r="E25" s="24" t="s">
        <v>97</v>
      </c>
      <c r="F25" s="24" t="s">
        <v>102</v>
      </c>
      <c r="G25" s="25" t="str">
        <f>HYPERLINK("https://www.dol.gov/agencies/whd/youthrules/young-worker-toolkit","Young Worker Toolkit")</f>
        <v>Young Worker Toolkit</v>
      </c>
      <c r="H25" s="26" t="str">
        <f>HYPERLINK("https://www.dir.ca.gov/youngworker/","California Young Workers' Program")</f>
        <v>California Young Workers' Program</v>
      </c>
      <c r="I25" s="26" t="str">
        <f>HYPERLINK("https://www.dol.gov/agencies/whd/youthrules/psa","YouthRules: Young Worker Public Service Announcement")</f>
        <v>YouthRules: Young Worker Public Service Announcement</v>
      </c>
      <c r="J25" s="26" t="str">
        <f>HYPERLINK("http://www.youtube.com/watch?v=THZolLvh36s&amp;NR=1","All in the Family: Archie's Raise")</f>
        <v>All in the Family: Archie's Raise</v>
      </c>
      <c r="K25" s="54"/>
    </row>
    <row r="26" spans="1:11" s="18" customFormat="1" ht="13.2" customHeight="1" x14ac:dyDescent="0.3">
      <c r="A26" s="22" t="s">
        <v>103</v>
      </c>
      <c r="B26" s="22" t="s">
        <v>82</v>
      </c>
      <c r="C26" s="23" t="s">
        <v>83</v>
      </c>
      <c r="D26" s="22"/>
      <c r="E26" s="22"/>
      <c r="F26" s="22"/>
      <c r="G26" s="22"/>
      <c r="H26" s="8"/>
      <c r="I26" s="8"/>
      <c r="J26" s="8"/>
      <c r="K26" s="54"/>
    </row>
    <row r="27" spans="1:11" s="18" customFormat="1" ht="13.2" customHeight="1" x14ac:dyDescent="0.3">
      <c r="A27" s="24" t="s">
        <v>104</v>
      </c>
      <c r="B27" s="8" t="s">
        <v>105</v>
      </c>
      <c r="C27" s="9" t="s">
        <v>86</v>
      </c>
      <c r="D27" s="24" t="s">
        <v>106</v>
      </c>
      <c r="E27" s="24" t="s">
        <v>107</v>
      </c>
      <c r="F27" s="24" t="s">
        <v>108</v>
      </c>
      <c r="G27" s="25" t="str">
        <f>HYPERLINK("https://www.californiacareers.info/#Lessons","Resume and Job Application Resources")</f>
        <v>Resume and Job Application Resources</v>
      </c>
      <c r="H27" s="26" t="str">
        <f>HYPERLINK("https://cloudfront.careeronestop.org/JusticeImpacted/Toolkit/practice-job-application.aspx","CareerOneStop: Practice Job Application")</f>
        <v>CareerOneStop: Practice Job Application</v>
      </c>
      <c r="I27" s="26" t="str">
        <f>HYPERLINK("https://www.federalreserveeducation.org/teaching-resources/personal-finance/earning-income/soft-skills","Soft Skills — Workplace Readiness")</f>
        <v>Soft Skills — Workplace Readiness</v>
      </c>
      <c r="J27" s="26" t="str">
        <f>HYPERLINK("http://www.youtube.com/watch?v=nPqZbq8DwiM&amp;NR=1","All in the Family: Edith the Job Hunter")</f>
        <v>All in the Family: Edith the Job Hunter</v>
      </c>
      <c r="K27" s="54"/>
    </row>
    <row r="28" spans="1:11" s="18" customFormat="1" ht="13.2" customHeight="1" x14ac:dyDescent="0.3">
      <c r="A28" s="24" t="s">
        <v>109</v>
      </c>
      <c r="B28" s="8" t="s">
        <v>110</v>
      </c>
      <c r="C28" s="9" t="s">
        <v>86</v>
      </c>
      <c r="D28" s="24" t="s">
        <v>111</v>
      </c>
      <c r="E28" s="24" t="s">
        <v>107</v>
      </c>
      <c r="F28" s="24" t="s">
        <v>108</v>
      </c>
      <c r="G28" s="25" t="str">
        <f>HYPERLINK("https://www.careeronestop.org/JobSearch/interview/interview-and-negotiate.aspx","Interview and Negotiate")</f>
        <v>Interview and Negotiate</v>
      </c>
      <c r="H28" s="26" t="str">
        <f>HYPERLINK("https://www.careeronestop.org/JobSearch/job-search.aspx","CareerOneStop: Practice Interview Questions")</f>
        <v>CareerOneStop: Practice Interview Questions</v>
      </c>
      <c r="I28" s="26" t="str">
        <f>HYPERLINK("https://www.federalreserveeducation.org/teaching-resources/personal-finance/earning-income/soft-skills","Soft Skills — Revisit: Interview Communication")</f>
        <v>Soft Skills — Revisit: Interview Communication</v>
      </c>
      <c r="J28" s="26" t="str">
        <f>HYPERLINK("https://www.youtube.com/watch?v=6E7R9m1k8YI","Cheers: The Peterson Principle")</f>
        <v>Cheers: The Peterson Principle</v>
      </c>
      <c r="K28" s="54"/>
    </row>
    <row r="29" spans="1:11" s="18" customFormat="1" ht="13.2" customHeight="1" x14ac:dyDescent="0.3">
      <c r="A29" s="24" t="s">
        <v>112</v>
      </c>
      <c r="B29" s="8" t="s">
        <v>113</v>
      </c>
      <c r="C29" s="9" t="s">
        <v>86</v>
      </c>
      <c r="D29" s="24" t="s">
        <v>114</v>
      </c>
      <c r="E29" s="24" t="s">
        <v>107</v>
      </c>
      <c r="F29" s="24" t="s">
        <v>115</v>
      </c>
      <c r="G29" s="25" t="str">
        <f>HYPERLINK("https://www.federalreserveeducation.org/teaching-resources/personal-finance/earning-income/entrepreneurship-working-for-yourself-lesson-3b","Entrepreneurship—Working for Yourself")</f>
        <v>Entrepreneurship—Working for Yourself</v>
      </c>
      <c r="H29" s="26" t="str">
        <f>HYPERLINK("https://www.federalreserveeducation.org/teaching-resources/personal-finance/earning-income/entrepreneurs-infographic","What Is an Entrepreneur?")</f>
        <v>What Is an Entrepreneur?</v>
      </c>
      <c r="I29" s="26" t="str">
        <f>HYPERLINK("https://www.michiganlearning.org/learning-hub/educational-videos/entrepreneurship/","Michigan Learning Channel: Entrepreneurship")</f>
        <v>Michigan Learning Channel: Entrepreneurship</v>
      </c>
      <c r="J29" s="26" t="str">
        <f>HYPERLINK("https://www.youtube.com/watch?v=K9pJm3E7yF4","The Jeffersons: George's Dream")</f>
        <v>The Jeffersons: George's Dream</v>
      </c>
      <c r="K29" s="54"/>
    </row>
    <row r="30" spans="1:11" s="18" customFormat="1" ht="13.2" customHeight="1" x14ac:dyDescent="0.3">
      <c r="A30" s="24" t="s">
        <v>116</v>
      </c>
      <c r="B30" s="8" t="s">
        <v>117</v>
      </c>
      <c r="C30" s="9" t="s">
        <v>118</v>
      </c>
      <c r="D30" s="24" t="s">
        <v>119</v>
      </c>
      <c r="E30" s="24" t="s">
        <v>120</v>
      </c>
      <c r="F30" s="24" t="s">
        <v>121</v>
      </c>
      <c r="G30" s="25" t="str">
        <f>HYPERLINK("https://econiful.org/curriculum/unit-5-personal-finance-public#5-6","Econiful 5.6: Decoding Paycheck Deductions")</f>
        <v>Econiful 5.6: Decoding Paycheck Deductions</v>
      </c>
      <c r="H30" s="26" t="str">
        <f>HYPERLINK("https://www.consumerfinance.gov/consumer-tools/educator-tools/youth-financial-education/teach/activities/calculating-numbers-your-paycheck/","Calculating the Numbers in Your Paycheck")</f>
        <v>Calculating the Numbers in Your Paycheck</v>
      </c>
      <c r="I30" s="26" t="str">
        <f>HYPERLINK("https://www.federalreserveeducation.org/teaching-resources/personal-finance/earning-income/understanding-your-pay-stub","Understanding Your Pay Stub — Gross vs. Net Pay")</f>
        <v>Understanding Your Pay Stub — Gross vs. Net Pay</v>
      </c>
      <c r="J30" s="26" t="str">
        <f>HYPERLINK("https://www.youtube.com/watch?v=fTbENc7kIyc","The Flintstones: Fred's New Boss")</f>
        <v>The Flintstones: Fred's New Boss</v>
      </c>
      <c r="K30" s="54"/>
    </row>
    <row r="31" spans="1:11" s="18" customFormat="1" ht="13.2" customHeight="1" x14ac:dyDescent="0.3">
      <c r="A31" s="24" t="s">
        <v>122</v>
      </c>
      <c r="B31" s="8" t="s">
        <v>123</v>
      </c>
      <c r="C31" s="9" t="s">
        <v>118</v>
      </c>
      <c r="D31" s="24" t="s">
        <v>124</v>
      </c>
      <c r="E31" s="24" t="s">
        <v>120</v>
      </c>
      <c r="F31" s="24" t="s">
        <v>125</v>
      </c>
      <c r="G31" s="25" t="str">
        <f>HYPERLINK("https://www.federalreserveeducation.org/teaching-resources/personal-finance/earning-income/w-is-for-wages-w4-and-w2","W Is for Wages, W-4, and W-2")</f>
        <v>W Is for Wages, W-4, and W-2</v>
      </c>
      <c r="H31" s="26" t="str">
        <f>HYPERLINK("https://www.consumerfinance.gov/consumer-tools/educator-tools/youth-financial-education/teach/activities/examining-elements-paycheck/","Examining Elements of a Paycheck")</f>
        <v>Examining Elements of a Paycheck</v>
      </c>
      <c r="I31" s="26" t="str">
        <f>HYPERLINK("https://www.khanacademy.org/college-careers-more/personal-finance/pf-taxes/tax-forms/v/w-2-intro","Khan Academy: Intro to the W-2")</f>
        <v>Khan Academy: Intro to the W-2</v>
      </c>
      <c r="J31" s="26" t="str">
        <f>HYPERLINK("https://www.youtube.com/results?search_query=Dolly+Parton+9+to+5","Dolly Parton: 9 to 5 (song)")</f>
        <v>Dolly Parton: 9 to 5 (song)</v>
      </c>
      <c r="K31" s="54"/>
    </row>
    <row r="32" spans="1:11" s="18" customFormat="1" ht="13.2" customHeight="1" x14ac:dyDescent="0.3">
      <c r="A32" s="22" t="s">
        <v>126</v>
      </c>
      <c r="B32" s="22" t="s">
        <v>82</v>
      </c>
      <c r="C32" s="23" t="s">
        <v>83</v>
      </c>
      <c r="D32" s="22"/>
      <c r="E32" s="22"/>
      <c r="F32" s="22"/>
      <c r="G32" s="27"/>
      <c r="H32" s="8"/>
      <c r="I32" s="8"/>
      <c r="J32" s="8"/>
      <c r="K32" s="54"/>
    </row>
    <row r="33" spans="1:11" s="18" customFormat="1" ht="13.2" customHeight="1" x14ac:dyDescent="0.3">
      <c r="A33" s="24" t="s">
        <v>127</v>
      </c>
      <c r="B33" s="8" t="s">
        <v>128</v>
      </c>
      <c r="C33" s="9" t="s">
        <v>118</v>
      </c>
      <c r="D33" s="24" t="s">
        <v>129</v>
      </c>
      <c r="E33" s="24" t="s">
        <v>120</v>
      </c>
      <c r="F33" s="24" t="s">
        <v>130</v>
      </c>
      <c r="G33" s="25" t="str">
        <f>HYPERLINK("https://www.federalreserveeducation.org/teaching-resources/personal-finance/earning-income/what-are-taxes-for-lesson-4a","What Are Taxes For?")</f>
        <v>What Are Taxes For?</v>
      </c>
      <c r="H33" s="26" t="str">
        <f>HYPERLINK("https://www.consumerfinance.gov/consumer-tools/educator-tools/youth-financial-education/teach/activities/becoming-familiar-taxes/","Becoming Familiar with Taxes")</f>
        <v>Becoming Familiar with Taxes</v>
      </c>
      <c r="I33" s="26" t="str">
        <f>HYPERLINK("https://www.youtube.com/watch?v=WcgAwxNt6O0","Our Government Explained: Why Do We Pay Taxes?")</f>
        <v>Our Government Explained: Why Do We Pay Taxes?</v>
      </c>
      <c r="J33" s="26" t="str">
        <f>HYPERLINK("https://www.youtube.com/watch?v=mbishfzyD5s","The Beverly Hillbillies: Jed Pays His Income Taxes")</f>
        <v>The Beverly Hillbillies: Jed Pays His Income Taxes</v>
      </c>
      <c r="K33" s="54"/>
    </row>
    <row r="34" spans="1:11" s="18" customFormat="1" ht="13.2" customHeight="1" x14ac:dyDescent="0.3">
      <c r="A34" s="24" t="s">
        <v>131</v>
      </c>
      <c r="B34" s="8" t="s">
        <v>132</v>
      </c>
      <c r="C34" s="9" t="s">
        <v>118</v>
      </c>
      <c r="D34" s="24" t="s">
        <v>133</v>
      </c>
      <c r="E34" s="28">
        <v>7</v>
      </c>
      <c r="F34" s="24" t="s">
        <v>134</v>
      </c>
      <c r="G34" s="25" t="str">
        <f>HYPERLINK("https://www.federalreserveeducation.org/teaching-resources/personal-finance/earning-income/understanding-taxes-lesson-4b","Understanding Taxes")</f>
        <v>Understanding Taxes</v>
      </c>
      <c r="H34" s="26" t="str">
        <f>HYPERLINK("https://www.federalreserveeducation.org/teaching-resources/personal-finance/earning-income/individual-income-tax-the-basics-and-new-changes","Individual Income Tax: The Basics and New Changes")</f>
        <v>Individual Income Tax: The Basics and New Changes</v>
      </c>
      <c r="I34" s="26" t="str">
        <f>HYPERLINK("https://www.federalreserveeducation.org/teaching-resources/personal-finance/earning-income/paying-taxes-infographic","Paying Taxes")</f>
        <v>Paying Taxes</v>
      </c>
      <c r="J34" s="26" t="str">
        <f>HYPERLINK("https://www.youtube.com/results?search_query=Beatles+Taxman","The Beatles: Taxman (song)")</f>
        <v>The Beatles: Taxman (song)</v>
      </c>
      <c r="K34" s="54"/>
    </row>
    <row r="35" spans="1:11" s="18" customFormat="1" ht="13.2" customHeight="1" x14ac:dyDescent="0.3">
      <c r="A35" s="24" t="s">
        <v>135</v>
      </c>
      <c r="B35" s="8" t="s">
        <v>136</v>
      </c>
      <c r="C35" s="9" t="s">
        <v>118</v>
      </c>
      <c r="D35" s="24" t="s">
        <v>137</v>
      </c>
      <c r="E35" s="28">
        <v>7</v>
      </c>
      <c r="F35" s="24" t="s">
        <v>138</v>
      </c>
      <c r="G35" s="25" t="str">
        <f>HYPERLINK("https://apps.irs.gov/app/understandingTaxes/teacher/hows_mod01.jsp","Completing Form W-4")</f>
        <v>Completing Form W-4</v>
      </c>
      <c r="H35" s="26" t="str">
        <f>HYPERLINK("https://www.irs.gov/individuals/tax-withholding-estimator","Tax Withholding Estimator")</f>
        <v>Tax Withholding Estimator</v>
      </c>
      <c r="I35" s="26" t="str">
        <f>HYPERLINK("https://www.federalreserveeducation.org/teaching-resources/personal-finance/earning-income/forms-101-filling-out-the-w-4","Forms 101: Filling Out the W-4")</f>
        <v>Forms 101: Filling Out the W-4</v>
      </c>
      <c r="J35" s="26" t="str">
        <f>HYPERLINK("https://www.youtube.com/watch?v=0zGei0y4Slc","Brian Regan: IRS Forms and Taxes")</f>
        <v>Brian Regan: IRS Forms and Taxes</v>
      </c>
      <c r="K35" s="54"/>
    </row>
    <row r="36" spans="1:11" s="18" customFormat="1" ht="13.2" customHeight="1" x14ac:dyDescent="0.3">
      <c r="A36" s="24" t="s">
        <v>139</v>
      </c>
      <c r="B36" s="8" t="s">
        <v>140</v>
      </c>
      <c r="C36" s="9" t="s">
        <v>118</v>
      </c>
      <c r="D36" s="24" t="s">
        <v>141</v>
      </c>
      <c r="E36" s="28">
        <v>7</v>
      </c>
      <c r="F36" s="24" t="s">
        <v>138</v>
      </c>
      <c r="G36" s="25" t="str">
        <f>HYPERLINK("https://apps.irs.gov/app/understandingTaxes/teacher/hows_mod12.jsp","Refund, Amount Due, and Recordkeeping")</f>
        <v>Refund, Amount Due, and Recordkeeping</v>
      </c>
      <c r="H36" s="26" t="str">
        <f>HYPERLINK("https://www.irs.gov/individuals/free-tax-return-preparation-for-qualifying-taxpayers","IRS Free Tax Return Preparation")</f>
        <v>IRS Free Tax Return Preparation</v>
      </c>
      <c r="I36" s="26" t="str">
        <f>HYPERLINK("https://www.federalreserveeducation.org/teaching-resources/personal-finance/spending-budgeting/banks-and-alternatives-101-tax-refund-fees","Banks and Alternatives 101: Tax Refund Fees")</f>
        <v>Banks and Alternatives 101: Tax Refund Fees</v>
      </c>
      <c r="J36" s="26" t="str">
        <f>HYPERLINK("https://www.youtube.com/watch?v=2Ltx0Wtir-U","George Burns and Gracie Allen: Show Business and Taxes")</f>
        <v>George Burns and Gracie Allen: Show Business and Taxes</v>
      </c>
      <c r="K36" s="54"/>
    </row>
    <row r="37" spans="1:11" s="18" customFormat="1" ht="13.2" customHeight="1" x14ac:dyDescent="0.3">
      <c r="A37" s="24" t="s">
        <v>142</v>
      </c>
      <c r="B37" s="8" t="s">
        <v>143</v>
      </c>
      <c r="C37" s="9" t="s">
        <v>144</v>
      </c>
      <c r="D37" s="24" t="s">
        <v>145</v>
      </c>
      <c r="E37" s="24" t="s">
        <v>32</v>
      </c>
      <c r="F37" s="24" t="s">
        <v>146</v>
      </c>
      <c r="G37" s="25" t="str">
        <f>HYPERLINK("https://www.federalreserveeducation.org/teaching-resources/personal-finance/earning-income/the-inventory-game-net-worth-and-cash-flow-lesson-2a","The Inventory Game—Net Worth and Cash Flow")</f>
        <v>The Inventory Game—Net Worth and Cash Flow</v>
      </c>
      <c r="H37" s="26" t="str">
        <f>HYPERLINK("https://www.consumerfinance.gov/consumer-tools/educator-tools/your-money-your-goals/toolkit/","CFPB: Creating a Cash Flow Budget")</f>
        <v>CFPB: Creating a Cash Flow Budget</v>
      </c>
      <c r="I37" s="26" t="str">
        <f>HYPERLINK("https://www.pbs.org/video/3-steps-to-a-bulletproof-budget-steps-to-a-bulletproof-budget-laogfq/","PBS Two Cents: 3 Steps to a Bulletproof Budget")</f>
        <v>PBS Two Cents: 3 Steps to a Bulletproof Budget</v>
      </c>
      <c r="J37" s="26" t="str">
        <f>HYPERLINK("https://www.youtube.com/watch?v=Qv4Zk6K8x1M","Roseanne: April Fool's Day")</f>
        <v>Roseanne: April Fool's Day</v>
      </c>
      <c r="K37" s="54"/>
    </row>
    <row r="38" spans="1:11" s="18" customFormat="1" ht="13.2" customHeight="1" x14ac:dyDescent="0.3">
      <c r="A38" s="22" t="s">
        <v>147</v>
      </c>
      <c r="B38" s="22" t="s">
        <v>82</v>
      </c>
      <c r="C38" s="23" t="s">
        <v>83</v>
      </c>
      <c r="D38" s="22"/>
      <c r="E38" s="22"/>
      <c r="F38" s="22"/>
      <c r="G38" s="27"/>
      <c r="H38" s="8"/>
      <c r="I38" s="8"/>
      <c r="J38" s="8"/>
      <c r="K38" s="54"/>
    </row>
    <row r="39" spans="1:11" s="18" customFormat="1" ht="13.2" customHeight="1" x14ac:dyDescent="0.3">
      <c r="A39" s="24" t="s">
        <v>148</v>
      </c>
      <c r="B39" s="8" t="s">
        <v>149</v>
      </c>
      <c r="C39" s="9" t="s">
        <v>144</v>
      </c>
      <c r="D39" s="24" t="s">
        <v>150</v>
      </c>
      <c r="E39" s="24" t="s">
        <v>32</v>
      </c>
      <c r="F39" s="24" t="s">
        <v>146</v>
      </c>
      <c r="G39" s="25" t="str">
        <f>HYPERLINK("https://www.federalreserveeducation.org/teaching-resources/personal-finance/spending-budgeting/developing-a-budget","Developing a Budget")</f>
        <v>Developing a Budget</v>
      </c>
      <c r="H39" s="26" t="str">
        <f>HYPERLINK("https://www.federalreserveeducation.org/teaching-resources/personal-finance/spending-budgeting/keys-reality-check-the-life-you-can-afford","Reality Check — Revisit: Apply to a Current Budget")</f>
        <v>Reality Check — Revisit: Apply to a Current Budget</v>
      </c>
      <c r="I39" s="26" t="str">
        <f>HYPERLINK("https://consumer.gov/your-money/making-budget","Consumer.gov: Making a Budget — Video")</f>
        <v>Consumer.gov: Making a Budget — Video</v>
      </c>
      <c r="J39" s="26" t="str">
        <f>HYPERLINK("https://www.youtube.com/watch?v=N82RI0NFE4c","The Honeymooners: The Honeymooners on Finances")</f>
        <v>The Honeymooners: The Honeymooners on Finances</v>
      </c>
      <c r="K39" s="54"/>
    </row>
    <row r="40" spans="1:11" s="18" customFormat="1" ht="13.2" customHeight="1" x14ac:dyDescent="0.3">
      <c r="A40" s="24" t="s">
        <v>151</v>
      </c>
      <c r="B40" s="8" t="s">
        <v>152</v>
      </c>
      <c r="C40" s="9" t="s">
        <v>144</v>
      </c>
      <c r="D40" s="24" t="s">
        <v>153</v>
      </c>
      <c r="E40" s="24" t="s">
        <v>32</v>
      </c>
      <c r="F40" s="24" t="s">
        <v>146</v>
      </c>
      <c r="G40" s="25" t="str">
        <f>HYPERLINK("https://econiful.org/curriculum/unit-5-personal-finance-public#5-9","Econiful 5.9: A Closer Look at Budgeting")</f>
        <v>Econiful 5.9: A Closer Look at Budgeting</v>
      </c>
      <c r="H40" s="26" t="str">
        <f>HYPERLINK("https://www.khanacademy.org/college-careers-more/financial-literacy/xa6995ea67a8e9fdd%3Abudgeting-and-saving/xa6995ea67a8e9fdd%3Abudgeting/e/building-a-budget-exercise","Khan Academy: Building a Budget — Practice")</f>
        <v>Khan Academy: Building a Budget — Practice</v>
      </c>
      <c r="I40" s="26" t="str">
        <f>HYPERLINK("https://www.khanacademy.org/economics-finance-domain/economics-personal-finance-va/x3ed8f3aede624754%3Abudgeting-saving/x3ed8f3aede624754%3Abudgeting/v/budgeting-and-the-503020-rule","Khan Academy: Budgeting and the 50:30:20 Rule")</f>
        <v>Khan Academy: Budgeting and the 50:30:20 Rule</v>
      </c>
      <c r="J40" s="26" t="str">
        <f>HYPERLINK("https://www.youtube.com/watch?v=ZrsWh7Bo97A","Sesame Street: For Me, For You, For Later: Three Jars")</f>
        <v>Sesame Street: For Me, For You, For Later: Three Jars</v>
      </c>
      <c r="K40" s="54"/>
    </row>
    <row r="41" spans="1:11" s="18" customFormat="1" ht="13.2" customHeight="1" x14ac:dyDescent="0.3">
      <c r="A41" s="24" t="s">
        <v>154</v>
      </c>
      <c r="B41" s="8" t="s">
        <v>155</v>
      </c>
      <c r="C41" s="9" t="s">
        <v>144</v>
      </c>
      <c r="D41" s="24" t="s">
        <v>156</v>
      </c>
      <c r="E41" s="24" t="s">
        <v>157</v>
      </c>
      <c r="F41" s="24"/>
      <c r="G41" s="25" t="str">
        <f>HYPERLINK("https://www.federalreserveeducation.org/teaching-resources/personal-finance/saving/keys-spending-and-saving","Spending &amp; Saving")</f>
        <v>Spending &amp; Saving</v>
      </c>
      <c r="H41" s="26" t="str">
        <f>HYPERLINK("https://catalog.fdic.gov/catalog/sfc/servlet.shepherd/document/download/069SJ00000n9YBLYA2","Financial Sleuth")</f>
        <v>Financial Sleuth</v>
      </c>
      <c r="I41" s="26" t="str">
        <f>HYPERLINK("https://www.khanacademy.org/college-careers-more/financial-literacy/xa6995ea67a8e9fdd%3Afinancial-goals/xa6995ea67a8e9fdd%3Amoney-personality/v/psychology-of-money-part-2","Psychology of Money: Part 2")</f>
        <v>Psychology of Money: Part 2</v>
      </c>
      <c r="J41" s="26" t="str">
        <f>HYPERLINK("https://www.youtube.com/watch?v=Cyo6LOw8DGI","Jim McDonald: Money Won't Make You Rich")</f>
        <v>Jim McDonald: Money Won't Make You Rich</v>
      </c>
      <c r="K41" s="54"/>
    </row>
    <row r="42" spans="1:11" s="18" customFormat="1" ht="13.2" customHeight="1" x14ac:dyDescent="0.3">
      <c r="A42" s="24" t="s">
        <v>158</v>
      </c>
      <c r="B42" s="8" t="s">
        <v>159</v>
      </c>
      <c r="C42" s="9" t="s">
        <v>144</v>
      </c>
      <c r="D42" s="24" t="s">
        <v>160</v>
      </c>
      <c r="E42" s="24" t="s">
        <v>161</v>
      </c>
      <c r="F42" s="24" t="s">
        <v>162</v>
      </c>
      <c r="G42" s="25" t="str">
        <f>HYPERLINK("https://www.federalreserveeducation.org/teaching-resources/personal-finance/investing/keys-save-invest-or-both","Save, Invest, or Both?")</f>
        <v>Save, Invest, or Both?</v>
      </c>
      <c r="H42" s="25" t="str">
        <f>HYPERLINK("https://www.consumerfinance.gov/consumer-tools/educator-tools/youth-financial-education/teach/activities/comparing-saving-investing/","Comparing Saving and Investing")</f>
        <v>Comparing Saving and Investing</v>
      </c>
      <c r="I42" s="25" t="str">
        <f>HYPERLINK("https://www.khanacademy.org/college-careers-more/financial-literacy/xa6995ea67a8e9fdd%3Ainvestments-retirement/xa6995ea67a8e9fdd%3Asaving-and-investing/v/saving-and-investing?t=65","Khan Academy: Saving and Investing")</f>
        <v>Khan Academy: Saving and Investing</v>
      </c>
      <c r="J42" s="25" t="str">
        <f>HYPERLINK("https://www.youtube.com/watch?v=cGwcUCwNkXI","The Jeffersons: George vs. Wall Street")</f>
        <v>The Jeffersons: George vs. Wall Street</v>
      </c>
      <c r="K42" s="54"/>
    </row>
    <row r="43" spans="1:11" s="18" customFormat="1" ht="13.2" customHeight="1" x14ac:dyDescent="0.3">
      <c r="A43" s="24" t="s">
        <v>163</v>
      </c>
      <c r="B43" s="8" t="s">
        <v>164</v>
      </c>
      <c r="C43" s="9" t="s">
        <v>144</v>
      </c>
      <c r="D43" s="24" t="s">
        <v>165</v>
      </c>
      <c r="E43" s="24" t="s">
        <v>97</v>
      </c>
      <c r="F43" s="24" t="s">
        <v>166</v>
      </c>
      <c r="G43" s="25" t="str">
        <f>HYPERLINK("https://apps.irs.gov/app/understandingTaxes/teacher/hows_mod14.jsp","IRS Understanding Taxes — Revisit: Self-Employment Tax &amp; Estimated Payments")</f>
        <v>IRS Understanding Taxes — Revisit: Self-Employment Tax &amp; Estimated Payments</v>
      </c>
      <c r="H43" s="26" t="str">
        <f>HYPERLINK("https://www.irs.gov/businesses/small-businesses-self-employed/estimated-taxes","Estimated Taxes")</f>
        <v>Estimated Taxes</v>
      </c>
      <c r="I43" s="26" t="str">
        <f>HYPERLINK("https://www.youtube.com/watch?v=eMxTgPtpvmE","IRS: Estimated Tax Payments")</f>
        <v>IRS: Estimated Tax Payments</v>
      </c>
      <c r="J43" s="29"/>
      <c r="K43" s="54"/>
    </row>
    <row r="44" spans="1:11" s="18" customFormat="1" ht="13.2" customHeight="1" x14ac:dyDescent="0.3">
      <c r="A44" s="22" t="s">
        <v>167</v>
      </c>
      <c r="B44" s="22" t="s">
        <v>82</v>
      </c>
      <c r="C44" s="23" t="s">
        <v>83</v>
      </c>
      <c r="D44" s="22"/>
      <c r="E44" s="22"/>
      <c r="F44" s="22"/>
      <c r="G44" s="22"/>
      <c r="H44" s="8"/>
      <c r="I44" s="8"/>
      <c r="J44" s="8"/>
      <c r="K44" s="54"/>
    </row>
    <row r="45" spans="1:11" s="18" customFormat="1" ht="13.2" customHeight="1" x14ac:dyDescent="0.3">
      <c r="A45" s="24" t="s">
        <v>168</v>
      </c>
      <c r="B45" s="8" t="s">
        <v>77</v>
      </c>
      <c r="C45" s="9" t="s">
        <v>144</v>
      </c>
      <c r="D45" s="24" t="s">
        <v>169</v>
      </c>
      <c r="E45" s="24" t="s">
        <v>170</v>
      </c>
      <c r="F45" s="24" t="s">
        <v>171</v>
      </c>
      <c r="G45" s="25" t="str">
        <f>HYPERLINK("https://econedlink.org/resources/thinking-in-webs-hexagon-personal-finance-puzzle/","Thinking in Webs: Hexagon Personal Finance Puzzle")</f>
        <v>Thinking in Webs: Hexagon Personal Finance Puzzle</v>
      </c>
      <c r="H45" s="26" t="str">
        <f>HYPERLINK("https://www.mymoney.gov/mymoneyfive","My Money Five")</f>
        <v>My Money Five</v>
      </c>
      <c r="I45" s="26" t="str">
        <f>HYPERLINK("https://www.stlouisfed.org/education/economic-literacy-video","Economic Literacy for Life — Revisit: Financial-System Synthesis")</f>
        <v>Economic Literacy for Life — Revisit: Financial-System Synthesis</v>
      </c>
      <c r="J45" s="26" t="str">
        <f>HYPERLINK("https://www.youtube.com/watch?v=UVRQK58jrbw","Monty Python: Merchant Banker Sketch")</f>
        <v>Monty Python: Merchant Banker Sketch</v>
      </c>
      <c r="K45" s="54"/>
    </row>
    <row r="46" spans="1:11" s="18" customFormat="1" ht="13.2" customHeight="1" x14ac:dyDescent="0.3">
      <c r="A46" s="30" t="s">
        <v>172</v>
      </c>
      <c r="B46" s="10" t="s">
        <v>173</v>
      </c>
      <c r="C46" s="11" t="s">
        <v>174</v>
      </c>
      <c r="D46" s="30" t="s">
        <v>175</v>
      </c>
      <c r="E46" s="30" t="s">
        <v>176</v>
      </c>
      <c r="F46" s="30" t="s">
        <v>177</v>
      </c>
      <c r="G46" s="31" t="str">
        <f>HYPERLINK("https://econiful.org/curriculum/unit-5-personal-finance-public#5-1","Econiful 5.1: The Promise and Peril of Compound Interest")</f>
        <v>Econiful 5.1: The Promise and Peril of Compound Interest</v>
      </c>
      <c r="H46" s="31" t="str">
        <f>HYPERLINK("https://www.investor.gov/financial-tools-calculators/calculators/compound-interest-calculator","Compound Interest Calculator")</f>
        <v>Compound Interest Calculator</v>
      </c>
      <c r="I46" s="31" t="str">
        <f>HYPERLINK("https://www.federalreserveeducation.org/teaching-resources/personal-finance/investing/growing-money-compound-interest","Growing Money: Compound Interest — Mechanics")</f>
        <v>Growing Money: Compound Interest — Mechanics</v>
      </c>
      <c r="J46" s="31" t="str">
        <f>HYPERLINK("https://www.youtube.com/watch?v=Kq6m8T9M2YQ","Jeff Allen: Credit Cards and Debt")</f>
        <v>Jeff Allen: Credit Cards and Debt</v>
      </c>
      <c r="K46" s="54"/>
    </row>
    <row r="47" spans="1:11" s="18" customFormat="1" ht="13.2" customHeight="1" x14ac:dyDescent="0.3">
      <c r="A47" s="30" t="s">
        <v>178</v>
      </c>
      <c r="B47" s="10" t="s">
        <v>179</v>
      </c>
      <c r="C47" s="11" t="s">
        <v>174</v>
      </c>
      <c r="D47" s="30" t="s">
        <v>180</v>
      </c>
      <c r="E47" s="30" t="s">
        <v>181</v>
      </c>
      <c r="F47" s="30" t="s">
        <v>66</v>
      </c>
      <c r="G47" s="31" t="str">
        <f>HYPERLINK("https://www.federalreserveeducation.org/teaching-resources/personal-finance/banks-interest-rates/types-of-savings-accounts","Types of Savings Accounts")</f>
        <v>Types of Savings Accounts</v>
      </c>
      <c r="H47" s="31" t="str">
        <f>HYPERLINK("https://www.consumerfinance.gov/consumer-tools/educator-tools/youth-financial-education/teach/activities/storing-my-savings/","Storing My Savings")</f>
        <v>Storing My Savings</v>
      </c>
      <c r="I47" s="31" t="str">
        <f>HYPERLINK("https://www.federalreserveeducation.org/teaching-resources/economics/banks-interest-rates/getting-real-about-interest-rates-video","Getting Real About Interest Rates")</f>
        <v>Getting Real About Interest Rates</v>
      </c>
      <c r="J47" s="31" t="str">
        <f>HYPERLINK("https://www.youtube.com/watch?v=oqgtFqd8nHo","Sesame Street: Elmo's Spend, Share, and Save Jars")</f>
        <v>Sesame Street: Elmo's Spend, Share, and Save Jars</v>
      </c>
      <c r="K47" s="54"/>
    </row>
    <row r="48" spans="1:11" s="18" customFormat="1" ht="13.2" customHeight="1" x14ac:dyDescent="0.3">
      <c r="A48" s="30" t="s">
        <v>182</v>
      </c>
      <c r="B48" s="10" t="s">
        <v>183</v>
      </c>
      <c r="C48" s="11" t="s">
        <v>174</v>
      </c>
      <c r="D48" s="30" t="s">
        <v>184</v>
      </c>
      <c r="E48" s="30" t="s">
        <v>161</v>
      </c>
      <c r="F48" s="30" t="s">
        <v>185</v>
      </c>
      <c r="G48" s="31" t="str">
        <f>HYPERLINK("https://www.federalreserveeducation.org/teaching-resources/personal-finance/saving/simple-and-compound-interest-why-it-is-great-to-save-lesson-6b","Simple and Compound Interest—Why It Is Great to Save")</f>
        <v>Simple and Compound Interest—Why It Is Great to Save</v>
      </c>
      <c r="H48" s="31" t="str">
        <f>HYPERLINK("https://www.consumerfinance.gov/consumer-tools/educator-tools/youth-financial-education/teach/activities/discovering-benefits-investing-early/","Discovering the Benefits of Investing Early")</f>
        <v>Discovering the Benefits of Investing Early</v>
      </c>
      <c r="I48" s="31" t="str">
        <f>HYPERLINK("https://www.khanacademy.org/math/grade-7-math-tx/xa876d090ec748f45%3Aone-variable-equations-and-inequalities/xa876d090ec748f45%3Asimple-and-compound-interest/v/how-to-make-your-money-grow","Khan Academy: How to Make Your Money Grow")</f>
        <v>Khan Academy: How to Make Your Money Grow</v>
      </c>
      <c r="J48" s="31" t="str">
        <f>HYPERLINK("https://www.youtube.com/watch?v=UJpT2DaGu10","Futurama: A Fishful of Dollars")</f>
        <v>Futurama: A Fishful of Dollars</v>
      </c>
      <c r="K48" s="54"/>
    </row>
    <row r="49" spans="1:11" s="18" customFormat="1" ht="13.2" customHeight="1" x14ac:dyDescent="0.3">
      <c r="A49" s="30" t="s">
        <v>186</v>
      </c>
      <c r="B49" s="10" t="s">
        <v>187</v>
      </c>
      <c r="C49" s="11" t="s">
        <v>174</v>
      </c>
      <c r="D49" s="30" t="s">
        <v>188</v>
      </c>
      <c r="E49" s="32">
        <v>4</v>
      </c>
      <c r="F49" s="30" t="s">
        <v>189</v>
      </c>
      <c r="G49" s="31" t="str">
        <f>HYPERLINK("https://econiful.org/curriculum/unit-5-personal-finance-public#5-3","Econiful 5.3: Thinking About Credit Like an Economist")</f>
        <v>Econiful 5.3: Thinking About Credit Like an Economist</v>
      </c>
      <c r="H49" s="31" t="str">
        <f>HYPERLINK("https://catalog.fdic.gov/catalog/sfc/servlet.shepherd/document/download/069SJ00000n9Ig5YAE","Money Smart: Capacity, Character, Collateral, Capital")</f>
        <v>Money Smart: Capacity, Character, Collateral, Capital</v>
      </c>
      <c r="I49" s="31" t="str">
        <f>HYPERLINK("https://www.khanacademy.org/college-careers-more/financial-literacy/xa6995ea67a8e9fdd%3Aloans-and-debt/xa6995ea67a8e9fdd%3Aborrowing-money/v/how-do-i-get-a-loan?t=0","Khan Academy: How Do I Get a Loan?")</f>
        <v>Khan Academy: How Do I Get a Loan?</v>
      </c>
      <c r="J49" s="31" t="str">
        <f>HYPERLINK("https://www.youtube.com/watch?v=VQKJy0T_xSo","Abbott and Costello: Loan Me 50 Cents")</f>
        <v>Abbott and Costello: Loan Me 50 Cents</v>
      </c>
      <c r="K49" s="54"/>
    </row>
    <row r="50" spans="1:11" s="18" customFormat="1" ht="13.2" customHeight="1" x14ac:dyDescent="0.3">
      <c r="A50" s="33" t="s">
        <v>190</v>
      </c>
      <c r="B50" s="33" t="s">
        <v>191</v>
      </c>
      <c r="C50" s="34" t="s">
        <v>192</v>
      </c>
      <c r="D50" s="33"/>
      <c r="E50" s="33"/>
      <c r="F50" s="33"/>
      <c r="G50" s="35"/>
      <c r="H50" s="10"/>
      <c r="I50" s="10"/>
      <c r="J50" s="10"/>
      <c r="K50" s="54"/>
    </row>
    <row r="51" spans="1:11" s="18" customFormat="1" ht="13.2" customHeight="1" x14ac:dyDescent="0.3">
      <c r="A51" s="30" t="s">
        <v>193</v>
      </c>
      <c r="B51" s="10" t="s">
        <v>194</v>
      </c>
      <c r="C51" s="11" t="s">
        <v>174</v>
      </c>
      <c r="D51" s="30" t="s">
        <v>195</v>
      </c>
      <c r="E51" s="30" t="s">
        <v>196</v>
      </c>
      <c r="F51" s="30" t="s">
        <v>197</v>
      </c>
      <c r="G51" s="31" t="str">
        <f>HYPERLINK("https://www.federalreserveeducation.org/teaching-resources/personal-finance/managing-credit/the-cost-of-credit","The Cost of Credit")</f>
        <v>The Cost of Credit</v>
      </c>
      <c r="H51" s="31" t="str">
        <f>HYPERLINK("https://econedlink.org/wp-content/uploads/2024/05/Buying-on-Credit-student-handouts.pdf","EconEdLink: Buying on Credit — Student Decision Activity")</f>
        <v>EconEdLink: Buying on Credit — Student Decision Activity</v>
      </c>
      <c r="I51" s="31" t="str">
        <f>HYPERLINK("https://www.federalreserveeducation.org/teaching-resources/personal-finance/managing-credit/the-amazing-2000-pizza","The Amazing $2,000 Pizza — True Cost of Credit")</f>
        <v>The Amazing $2,000 Pizza — True Cost of Credit</v>
      </c>
      <c r="J51" s="30"/>
      <c r="K51" s="54"/>
    </row>
    <row r="52" spans="1:11" s="18" customFormat="1" ht="13.2" customHeight="1" x14ac:dyDescent="0.3">
      <c r="A52" s="30" t="s">
        <v>198</v>
      </c>
      <c r="B52" s="10" t="s">
        <v>199</v>
      </c>
      <c r="C52" s="11" t="s">
        <v>174</v>
      </c>
      <c r="D52" s="30" t="s">
        <v>200</v>
      </c>
      <c r="E52" s="32" t="s">
        <v>201</v>
      </c>
      <c r="F52" s="30" t="s">
        <v>202</v>
      </c>
      <c r="G52" s="31" t="str">
        <f>HYPERLINK("https://econedlink.org/resources/credit-reports-and-credit-scores/","Credit Reports and Credit Scores — Part 1 of 2: Reading the Report")</f>
        <v>Credit Reports and Credit Scores — Part 1 of 2: Reading the Report</v>
      </c>
      <c r="H52" s="31" t="str">
        <f>HYPERLINK("https://www.annualcreditreport.com/","AnnualCreditReport.com")</f>
        <v>AnnualCreditReport.com</v>
      </c>
      <c r="I52" s="31" t="str">
        <f>HYPERLINK("https://www.khanacademy.org/college-careers-more/financial-literacy/xa6995ea67a8e9fdd%3Aconsumer-credit/xa6995ea67a8e9fdd%3Acredit-score/v/what-is-a-credit-score","Khan Academy: What Is a Credit Score?")</f>
        <v>Khan Academy: What Is a Credit Score?</v>
      </c>
      <c r="J52" s="30"/>
      <c r="K52" s="54"/>
    </row>
    <row r="53" spans="1:11" s="18" customFormat="1" ht="13.2" customHeight="1" x14ac:dyDescent="0.3">
      <c r="A53" s="30" t="s">
        <v>203</v>
      </c>
      <c r="B53" s="10" t="s">
        <v>204</v>
      </c>
      <c r="C53" s="11" t="s">
        <v>174</v>
      </c>
      <c r="D53" s="30" t="s">
        <v>205</v>
      </c>
      <c r="E53" s="32" t="s">
        <v>201</v>
      </c>
      <c r="F53" s="30" t="s">
        <v>206</v>
      </c>
      <c r="G53" s="31" t="str">
        <f>HYPERLINK("https://econedlink.org/resources/credit-reports-and-credit-scores/","Credit Reports and Credit Scores — Part 2 of 2: What Drives the Score")</f>
        <v>Credit Reports and Credit Scores — Part 2 of 2: What Drives the Score</v>
      </c>
      <c r="H53" s="31" t="str">
        <f>HYPERLINK("https://www.fhi360.org/resources/identifying-missing-credit-score-category/","FHI 360: Identifying the Missing Credit Score Category")</f>
        <v>FHI 360: Identifying the Missing Credit Score Category</v>
      </c>
      <c r="I53" s="31" t="str">
        <f>HYPERLINK("https://www.federalreserveeducation.org/teaching-resources/personal-finance/managing-credit/how-a-fico-credit-score-is-determined","How a FICO Credit Score Is Determined — Score Factors")</f>
        <v>How a FICO Credit Score Is Determined — Score Factors</v>
      </c>
      <c r="J53" s="30"/>
      <c r="K53" s="54"/>
    </row>
    <row r="54" spans="1:11" s="18" customFormat="1" ht="13.2" customHeight="1" x14ac:dyDescent="0.3">
      <c r="A54" s="30" t="s">
        <v>207</v>
      </c>
      <c r="B54" s="10" t="s">
        <v>208</v>
      </c>
      <c r="C54" s="11" t="s">
        <v>174</v>
      </c>
      <c r="D54" s="30" t="s">
        <v>209</v>
      </c>
      <c r="E54" s="32" t="s">
        <v>201</v>
      </c>
      <c r="F54" s="30" t="s">
        <v>202</v>
      </c>
      <c r="G54" s="31" t="str">
        <f>HYPERLINK("https://www.federalreserveeducation.org/teaching-resources/personal-finance/managing-credit/understanding-credit-reports-scores","Understanding Credit Reports &amp; Scores")</f>
        <v>Understanding Credit Reports &amp; Scores</v>
      </c>
      <c r="H54" s="31" t="str">
        <f>HYPERLINK("https://www.federalreserveeducation.org/teaching-resources/personal-finance/managing-credit/why-is-good-credit-important-infographic","Why Is Good Credit Important?")</f>
        <v>Why Is Good Credit Important?</v>
      </c>
      <c r="I54" s="31" t="str">
        <f>HYPERLINK("https://www.khanacademy.org/college-careers-more/financial-literacy/xa6995ea67a8e9fdd%3Aconsumer-credit/xa6995ea67a8e9fdd%3Acredit-score/v/what-can-change-your-credit-score","Khan Academy: What Can Change Your Credit Score?")</f>
        <v>Khan Academy: What Can Change Your Credit Score?</v>
      </c>
      <c r="J54" s="31" t="str">
        <f>HYPERLINK("https://www.youtube.com/watch?v=3RkHnP0L8wM","Kathleen Madigan: Credit Card Offers")</f>
        <v>Kathleen Madigan: Credit Card Offers</v>
      </c>
      <c r="K54" s="54"/>
    </row>
    <row r="55" spans="1:11" s="18" customFormat="1" ht="13.2" customHeight="1" x14ac:dyDescent="0.3">
      <c r="A55" s="30" t="s">
        <v>210</v>
      </c>
      <c r="B55" s="10" t="s">
        <v>211</v>
      </c>
      <c r="C55" s="11" t="s">
        <v>212</v>
      </c>
      <c r="D55" s="30" t="s">
        <v>213</v>
      </c>
      <c r="E55" s="30" t="s">
        <v>214</v>
      </c>
      <c r="F55" s="30" t="s">
        <v>197</v>
      </c>
      <c r="G55" s="31" t="str">
        <f>HYPERLINK("https://www.federalreserveeducation.org/teaching-resources/personal-finance/spending-budgeting/credit-cards-a-package-deal","Credit Cards—A Package Deal")</f>
        <v>Credit Cards—A Package Deal</v>
      </c>
      <c r="H55" s="31" t="str">
        <f>HYPERLINK("https://www.federalreserveeducation.org/teaching-resources/personal-finance/managing-credit/buy-now-pay-later-a-credit-alternative","Buy Now, Pay Later: A Credit Alternative")</f>
        <v>Buy Now, Pay Later: A Credit Alternative</v>
      </c>
      <c r="I55" s="31" t="str">
        <f>HYPERLINK("https://www.federalreserveeducation.org/teaching-resources/personal-finance/managing-credit/buy-now-pay-later-video","Buy Now, Pay Later")</f>
        <v>Buy Now, Pay Later</v>
      </c>
      <c r="J55" s="31" t="str">
        <f>HYPERLINK("http://www.nbc.com/saturday-night-live/video/dont-buy-stuff/27169/","Saturday Night Live: Don't Buy Stuff You Can't Afford")</f>
        <v>Saturday Night Live: Don't Buy Stuff You Can't Afford</v>
      </c>
      <c r="K55" s="54"/>
    </row>
    <row r="56" spans="1:11" s="18" customFormat="1" ht="13.2" customHeight="1" x14ac:dyDescent="0.3">
      <c r="A56" s="33" t="s">
        <v>215</v>
      </c>
      <c r="B56" s="33" t="s">
        <v>191</v>
      </c>
      <c r="C56" s="34" t="s">
        <v>192</v>
      </c>
      <c r="D56" s="33"/>
      <c r="E56" s="33"/>
      <c r="F56" s="33"/>
      <c r="G56" s="33"/>
      <c r="H56" s="10"/>
      <c r="I56" s="10"/>
      <c r="J56" s="10"/>
      <c r="K56" s="54"/>
    </row>
    <row r="57" spans="1:11" s="18" customFormat="1" ht="13.2" customHeight="1" x14ac:dyDescent="0.3">
      <c r="A57" s="30" t="s">
        <v>216</v>
      </c>
      <c r="B57" s="10" t="s">
        <v>217</v>
      </c>
      <c r="C57" s="11" t="s">
        <v>212</v>
      </c>
      <c r="D57" s="30" t="s">
        <v>218</v>
      </c>
      <c r="E57" s="32" t="s">
        <v>201</v>
      </c>
      <c r="F57" s="30" t="s">
        <v>219</v>
      </c>
      <c r="G57" s="31" t="str">
        <f>HYPERLINK("https://econedlink.org/resources/car-loan-project/","Car Loan Project — Part 1 of 2: Financing the Loan")</f>
        <v>Car Loan Project — Part 1 of 2: Financing the Loan</v>
      </c>
      <c r="H57" s="31" t="str">
        <f>HYPERLINK("https://files.consumerfinance.gov/f/documents/cfpb_auto-loan-worksheet_2025-10.pdf","CFPB: Comparing Auto Loans Worksheet")</f>
        <v>CFPB: Comparing Auto Loans Worksheet</v>
      </c>
      <c r="I57" s="31" t="str">
        <f>HYPERLINK("https://www.khanacademy.org/college-careers-more/financial-literacy/xa6995ea67a8e9fdd%3Acar-buying/xa6995ea67a8e9fdd%3Acar-loans/v/car-payment-calculation","Khan Academy: Car Payment Calculation")</f>
        <v>Khan Academy: Car Payment Calculation</v>
      </c>
      <c r="J57" s="31" t="str">
        <f>HYPERLINK("https://www.youtube.com/watch?v=6QxY0Z0FQnY","Roseanne: Crime and Punishment")</f>
        <v>Roseanne: Crime and Punishment</v>
      </c>
      <c r="K57" s="54"/>
    </row>
    <row r="58" spans="1:11" s="18" customFormat="1" ht="13.2" customHeight="1" x14ac:dyDescent="0.3">
      <c r="A58" s="30" t="s">
        <v>220</v>
      </c>
      <c r="B58" s="10" t="s">
        <v>221</v>
      </c>
      <c r="C58" s="11" t="s">
        <v>212</v>
      </c>
      <c r="D58" s="30" t="s">
        <v>222</v>
      </c>
      <c r="E58" s="30" t="s">
        <v>223</v>
      </c>
      <c r="F58" s="30" t="s">
        <v>224</v>
      </c>
      <c r="G58" s="31" t="str">
        <f>HYPERLINK("https://econedlink.org/resources/car-loan-project/","Car Loan Project — Part 2 of 2: Making the Purchase Decision")</f>
        <v>Car Loan Project — Part 2 of 2: Making the Purchase Decision</v>
      </c>
      <c r="H58" s="31" t="str">
        <f>HYPERLINK("https://www.federalreserveeducation.org/teaching-resources/personal-finance/spending-budgeting/cards-cars-and-currency-the-car-buying-journey","Cars, Cards, and Currency: The Car-Buying Journey")</f>
        <v>Cars, Cards, and Currency: The Car-Buying Journey</v>
      </c>
      <c r="I58" s="31" t="str">
        <f>HYPERLINK("https://www.pbs.org/video/how-cars-can-keep-you-poor-eymzdq/","PBS Two Cents: How Cars Can Keep You Poor")</f>
        <v>PBS Two Cents: How Cars Can Keep You Poor</v>
      </c>
      <c r="J58" s="30"/>
      <c r="K58" s="54"/>
    </row>
    <row r="59" spans="1:11" s="18" customFormat="1" ht="13.2" customHeight="1" x14ac:dyDescent="0.3">
      <c r="A59" s="30" t="s">
        <v>225</v>
      </c>
      <c r="B59" s="10" t="s">
        <v>226</v>
      </c>
      <c r="C59" s="11" t="s">
        <v>212</v>
      </c>
      <c r="D59" s="30" t="s">
        <v>227</v>
      </c>
      <c r="E59" s="30" t="s">
        <v>223</v>
      </c>
      <c r="F59" s="30" t="s">
        <v>224</v>
      </c>
      <c r="G59" s="31" t="str">
        <f>HYPERLINK("https://catalog.fdic.gov/catalog/sfc/servlet.shepherd/document/download/069SJ00000n9Ig5YAE","Convertible or Clunker? — Part 1 of 2: Buy, Lease, New, or Used")</f>
        <v>Convertible or Clunker? — Part 1 of 2: Buy, Lease, New, or Used</v>
      </c>
      <c r="H59" s="31" t="str">
        <f>HYPERLINK("https://www.federalreserveeducation.org/teaching-resources/personal-finance/spending-budgeting/the-car-deal-package","The Car Deal Package")</f>
        <v>The Car Deal Package</v>
      </c>
      <c r="I59" s="31" t="str">
        <f>HYPERLINK("https://www.pbs.org/video/should-i-lease-a-car-ntixi1/","PBS Two Cents: Should I Lease a Car?")</f>
        <v>PBS Two Cents: Should I Lease a Car?</v>
      </c>
      <c r="J59" s="31" t="str">
        <f>HYPERLINK("https://www.youtube.com/watch?v=3mR8Yk9ZP6E","Jeanne Robertson: Paying Extra for Comfort")</f>
        <v>Jeanne Robertson: Paying Extra for Comfort</v>
      </c>
      <c r="K59" s="54"/>
    </row>
    <row r="60" spans="1:11" s="18" customFormat="1" ht="13.2" customHeight="1" x14ac:dyDescent="0.3">
      <c r="A60" s="30" t="s">
        <v>228</v>
      </c>
      <c r="B60" s="10" t="s">
        <v>229</v>
      </c>
      <c r="C60" s="11" t="s">
        <v>212</v>
      </c>
      <c r="D60" s="30" t="s">
        <v>230</v>
      </c>
      <c r="E60" s="30" t="s">
        <v>223</v>
      </c>
      <c r="F60" s="30" t="s">
        <v>231</v>
      </c>
      <c r="G60" s="31" t="str">
        <f>HYPERLINK("https://catalog.fdic.gov/catalog/sfc/servlet.shepherd/document/download/069SJ00000n9Ig5YAE","Convertible or Clunker? — Part 2 of 2: Total Cost of Ownership")</f>
        <v>Convertible or Clunker? — Part 2 of 2: Total Cost of Ownership</v>
      </c>
      <c r="H60" s="31" t="str">
        <f>HYPERLINK("https://www.consumerfinance.gov/consumer-tools/money-as-you-grow/talking-about-financial-decisions/buying-car/","CFPB: Buying a Car — Ownership Cost Discussion")</f>
        <v>CFPB: Buying a Car — Ownership Cost Discussion</v>
      </c>
      <c r="I60" s="31" t="str">
        <f>HYPERLINK("https://www.federalreserveeducation.org/teaching-resources/personal-finance/managing-risk/car-insurance-101-coverage-and-cost-basics","Car Insurance 101 — Ownership-Cost Component")</f>
        <v>Car Insurance 101 — Ownership-Cost Component</v>
      </c>
      <c r="J60" s="31" t="str">
        <f>HYPERLINK("https://www.youtube.com/watch?v=YlGqN3AKOsA","Brian Regan: The Cost of Convenience")</f>
        <v>Brian Regan: The Cost of Convenience</v>
      </c>
      <c r="K60" s="54"/>
    </row>
    <row r="61" spans="1:11" s="18" customFormat="1" ht="13.2" customHeight="1" x14ac:dyDescent="0.3">
      <c r="A61" s="30" t="s">
        <v>232</v>
      </c>
      <c r="B61" s="10" t="s">
        <v>233</v>
      </c>
      <c r="C61" s="11" t="s">
        <v>212</v>
      </c>
      <c r="D61" s="30" t="s">
        <v>234</v>
      </c>
      <c r="E61" s="30" t="s">
        <v>223</v>
      </c>
      <c r="F61" s="30" t="s">
        <v>235</v>
      </c>
      <c r="G61" s="31" t="str">
        <f>HYPERLINK("https://www.federalreserveeducation.org/teaching-resources/personal-finance/spending-budgeting/on-the-move-renting-basics","On the Move: Renting Basics")</f>
        <v>On the Move: Renting Basics</v>
      </c>
      <c r="H61" s="31" t="str">
        <f>HYPERLINK("https://www.federalreserveeducation.org/teaching-resources/personal-finance/spending-budgeting/keys-moving-into-my-own-place","Federal Reserve Education: Moving Into My Own Place — Lesson")</f>
        <v>Federal Reserve Education: Moving Into My Own Place — Lesson</v>
      </c>
      <c r="I61" s="31" t="str">
        <f>HYPERLINK("https://www.federalreserveeducation.org/teaching-resources/personal-finance/spending-budgeting/renting-your-first-place","Renting Your First Place")</f>
        <v>Renting Your First Place</v>
      </c>
      <c r="J61" s="30"/>
      <c r="K61" s="54"/>
    </row>
    <row r="62" spans="1:11" s="18" customFormat="1" ht="13.2" customHeight="1" x14ac:dyDescent="0.3">
      <c r="A62" s="33" t="s">
        <v>236</v>
      </c>
      <c r="B62" s="33" t="s">
        <v>191</v>
      </c>
      <c r="C62" s="34" t="s">
        <v>192</v>
      </c>
      <c r="D62" s="33"/>
      <c r="E62" s="33"/>
      <c r="F62" s="33"/>
      <c r="G62" s="35"/>
      <c r="H62" s="10"/>
      <c r="I62" s="10"/>
      <c r="J62" s="10"/>
      <c r="K62" s="54"/>
    </row>
    <row r="63" spans="1:11" s="18" customFormat="1" ht="13.2" customHeight="1" x14ac:dyDescent="0.3">
      <c r="A63" s="30" t="s">
        <v>237</v>
      </c>
      <c r="B63" s="10" t="s">
        <v>238</v>
      </c>
      <c r="C63" s="11" t="s">
        <v>212</v>
      </c>
      <c r="D63" s="30" t="s">
        <v>239</v>
      </c>
      <c r="E63" s="32" t="s">
        <v>201</v>
      </c>
      <c r="F63" s="30" t="s">
        <v>240</v>
      </c>
      <c r="G63" s="31" t="str">
        <f>HYPERLINK("https://econedlink.org/resources/loan-amortization-mortgage/","Learning About Mortgages—Loan Amortization")</f>
        <v>Learning About Mortgages—Loan Amortization</v>
      </c>
      <c r="H63" s="31" t="str">
        <f>HYPERLINK("https://www.consumerfinance.gov/consumer-tools/educator-tools/youth-financial-education/teach/activities/role-playing-borrowing-lending/","CFPB: Role-Playing Borrowing and Lending")</f>
        <v>CFPB: Role-Playing Borrowing and Lending</v>
      </c>
      <c r="I63" s="31" t="str">
        <f>HYPERLINK("https://www.federalreserveeducation.org/teaching-resources/personal-finance/managing-credit/mortgage-101","Mortgage 101 — Mortgage Structure &amp; Cost")</f>
        <v>Mortgage 101 — Mortgage Structure &amp; Cost</v>
      </c>
      <c r="J63" s="31" t="str">
        <f>HYPERLINK("https://www.youtube.com/watch?v=H9m3NQK0X8M","Nate Bargatze: Buying a House")</f>
        <v>Nate Bargatze: Buying a House</v>
      </c>
      <c r="K63" s="54"/>
    </row>
    <row r="64" spans="1:11" s="18" customFormat="1" ht="13.2" customHeight="1" x14ac:dyDescent="0.3">
      <c r="A64" s="30" t="s">
        <v>241</v>
      </c>
      <c r="B64" s="10" t="s">
        <v>242</v>
      </c>
      <c r="C64" s="11" t="s">
        <v>212</v>
      </c>
      <c r="D64" s="30" t="s">
        <v>243</v>
      </c>
      <c r="E64" s="30" t="s">
        <v>223</v>
      </c>
      <c r="F64" s="30" t="s">
        <v>235</v>
      </c>
      <c r="G64" s="31" t="str">
        <f>HYPERLINK("https://www.federalreserveeducation.org/teaching-resources/personal-finance/managing-credit/keys-tired-of-renting","Tired of Renting: Should I Buy My Own House?")</f>
        <v>Tired of Renting: Should I Buy My Own House?</v>
      </c>
      <c r="H64" s="31" t="str">
        <f>HYPERLINK("https://catalog.fdic.gov/catalog/sfc/servlet.shepherd/document/download/069SJ00000n9t7YYAQ","Money Smart: Crash Pad")</f>
        <v>Money Smart: Crash Pad</v>
      </c>
      <c r="I64" s="31" t="str">
        <f>HYPERLINK("https://www.khanacademy.org/college-careers-more/financial-literacy/xa6995ea67a8e9fdd%3Ahousing24/xa6995ea67a8e9fdd%3Arenting-vs-homeownership/v/housing-costs-for-renters-and-owners","Khan Academy: Housing Costs for Renters and Owners")</f>
        <v>Khan Academy: Housing Costs for Renters and Owners</v>
      </c>
      <c r="J64" s="30"/>
      <c r="K64" s="54"/>
    </row>
    <row r="65" spans="1:11" s="18" customFormat="1" ht="13.2" customHeight="1" x14ac:dyDescent="0.3">
      <c r="A65" s="30" t="s">
        <v>244</v>
      </c>
      <c r="B65" s="10" t="s">
        <v>245</v>
      </c>
      <c r="C65" s="11" t="s">
        <v>246</v>
      </c>
      <c r="D65" s="30" t="s">
        <v>247</v>
      </c>
      <c r="E65" s="32" t="s">
        <v>201</v>
      </c>
      <c r="F65" s="30" t="s">
        <v>189</v>
      </c>
      <c r="G65" s="31" t="str">
        <f>HYPERLINK("https://www.federalreserveeducation.org/teaching-resources/personal-finance/earning-income/get-an-education-even-if-it-means-borrowing","Get an Education, Even if It Means Borrowing")</f>
        <v>Get an Education, Even if It Means Borrowing</v>
      </c>
      <c r="H65" s="31" t="str">
        <f>HYPERLINK("https://studentaid.gov/understand-aid/types/loans","Federal Student Loans: Basics for Students")</f>
        <v>Federal Student Loans: Basics for Students</v>
      </c>
      <c r="I65" s="31" t="str">
        <f>HYPERLINK("https://www.khanacademy.org/college-careers-more/financial-literacy/xa6995ea67a8e9fdd%3Acareers-and-education/xa6995ea67a8e9fdd%3Apaying-for-post-secondary-education/v/paying-for-education-student-loans","Khan Academy: Paying for Education — Student Loans")</f>
        <v>Khan Academy: Paying for Education — Student Loans</v>
      </c>
      <c r="J65" s="31" t="str">
        <f>HYPERLINK("https://www.youtube.com/watch?v=zv1gBsnF1i4","Roseanne: Friends and Relatives")</f>
        <v>Roseanne: Friends and Relatives</v>
      </c>
      <c r="K65" s="54"/>
    </row>
    <row r="66" spans="1:11" s="18" customFormat="1" ht="13.2" customHeight="1" x14ac:dyDescent="0.3">
      <c r="A66" s="30" t="s">
        <v>248</v>
      </c>
      <c r="B66" s="10" t="s">
        <v>249</v>
      </c>
      <c r="C66" s="11" t="s">
        <v>246</v>
      </c>
      <c r="D66" s="30" t="s">
        <v>250</v>
      </c>
      <c r="E66" s="30" t="s">
        <v>223</v>
      </c>
      <c r="F66" s="30" t="s">
        <v>251</v>
      </c>
      <c r="G66" s="31" t="str">
        <f>HYPERLINK("https://www.federalreserveeducation.org/teaching-resources/personal-finance/managing-credit/keys-understanding-the-financial-aid-process","Understanding the Financial Aid Process")</f>
        <v>Understanding the Financial Aid Process</v>
      </c>
      <c r="H66" s="31" t="str">
        <f>HYPERLINK("https://studentaid.gov/articles/evaluating-financial-aid-offers/","Federal Student Aid: How to Evaluate Your Aid Offers")</f>
        <v>Federal Student Aid: How to Evaluate Your Aid Offers</v>
      </c>
      <c r="I66" s="31" t="str">
        <f>HYPERLINK("https://www.federalreserveeducation.org/teaching-resources/personal-finance/managing-credit/college-choice-101-financial-aid","College Choice 101: Financial Aid — Financing Sources")</f>
        <v>College Choice 101: Financial Aid — Financing Sources</v>
      </c>
      <c r="J66" s="31" t="str">
        <f>HYPERLINK("https://www.youtube.com/watch?v=zs3evcaM1ig","Jeff Allen: Paying for College")</f>
        <v>Jeff Allen: Paying for College</v>
      </c>
      <c r="K66" s="54"/>
    </row>
    <row r="67" spans="1:11" s="18" customFormat="1" ht="13.2" customHeight="1" x14ac:dyDescent="0.3">
      <c r="A67" s="30" t="s">
        <v>252</v>
      </c>
      <c r="B67" s="10" t="s">
        <v>253</v>
      </c>
      <c r="C67" s="11" t="s">
        <v>246</v>
      </c>
      <c r="D67" s="30" t="s">
        <v>254</v>
      </c>
      <c r="E67" s="30" t="s">
        <v>223</v>
      </c>
      <c r="F67" s="30" t="s">
        <v>255</v>
      </c>
      <c r="G67" s="31" t="str">
        <f>HYPERLINK("https://econedlink.org/resources/youre-going-to-college/","You're Going to College")</f>
        <v>You're Going to College</v>
      </c>
      <c r="H67" s="31" t="str">
        <f>HYPERLINK("https://collegescorecard.ed.gov/","College Scorecard — Revisit: Cost &amp; Earnings Comparison")</f>
        <v>College Scorecard — Revisit: Cost &amp; Earnings Comparison</v>
      </c>
      <c r="I67" s="31" t="str">
        <f>HYPERLINK("https://www.khanacademy.org/economics-finance-domain/economics-personal-finance-va/x3ed8f3aede624754%3Acareers-and-education/x3ed8f3aede624754%3Acost-of-postsecondary-education/v/comparing-postsecondary-costs","Khan Academy: Comparing Postsecondary Costs")</f>
        <v>Khan Academy: Comparing Postsecondary Costs</v>
      </c>
      <c r="J67" s="31" t="str">
        <f>HYPERLINK("https://www.youtube.com/watch?v=7dL9vX1nP5A","Green Acres: The Agricultural Student")</f>
        <v>Green Acres: The Agricultural Student</v>
      </c>
      <c r="K67" s="54"/>
    </row>
    <row r="68" spans="1:11" s="18" customFormat="1" ht="13.2" customHeight="1" x14ac:dyDescent="0.3">
      <c r="A68" s="33" t="s">
        <v>256</v>
      </c>
      <c r="B68" s="33" t="s">
        <v>191</v>
      </c>
      <c r="C68" s="34" t="s">
        <v>192</v>
      </c>
      <c r="D68" s="33"/>
      <c r="E68" s="33"/>
      <c r="F68" s="33"/>
      <c r="G68" s="35"/>
      <c r="H68" s="10"/>
      <c r="I68" s="10"/>
      <c r="J68" s="10"/>
      <c r="K68" s="54"/>
    </row>
    <row r="69" spans="1:11" s="18" customFormat="1" ht="13.2" customHeight="1" x14ac:dyDescent="0.3">
      <c r="A69" s="30" t="s">
        <v>257</v>
      </c>
      <c r="B69" s="10" t="s">
        <v>258</v>
      </c>
      <c r="C69" s="11" t="s">
        <v>246</v>
      </c>
      <c r="D69" s="30" t="s">
        <v>259</v>
      </c>
      <c r="E69" s="30" t="s">
        <v>223</v>
      </c>
      <c r="F69" s="30" t="s">
        <v>260</v>
      </c>
      <c r="G69" s="31" t="str">
        <f>HYPERLINK("https://catalog.fdic.gov/catalog/sfc/servlet.shepherd/document/download/069SJ00000n9FANYA2","Money Smart: Halls of Knowledge")</f>
        <v>Money Smart: Halls of Knowledge</v>
      </c>
      <c r="H69" s="31" t="str">
        <f>HYPERLINK("https://csac.ca.gov/programs","California Student Aid Commission: Financial Aid Programs")</f>
        <v>California Student Aid Commission: Financial Aid Programs</v>
      </c>
      <c r="I69" s="31" t="str">
        <f>HYPERLINK("https://www.khanacademy.org/college-careers-more/financial-literacy/xa6995ea67a8e9fdd%3Acareers-and-education/xa6995ea67a8e9fdd%3Apaying-for-post-secondary-education/v/paying-for-education-scholarships","Khan Academy: Paying for Education — Grants and Scholarships")</f>
        <v>Khan Academy: Paying for Education — Grants and Scholarships</v>
      </c>
      <c r="J69" s="30"/>
      <c r="K69" s="54"/>
    </row>
    <row r="70" spans="1:11" s="18" customFormat="1" ht="13.2" customHeight="1" x14ac:dyDescent="0.3">
      <c r="A70" s="30" t="s">
        <v>261</v>
      </c>
      <c r="B70" s="10" t="s">
        <v>262</v>
      </c>
      <c r="C70" s="11" t="s">
        <v>246</v>
      </c>
      <c r="D70" s="30" t="s">
        <v>263</v>
      </c>
      <c r="E70" s="30" t="s">
        <v>223</v>
      </c>
      <c r="F70" s="30" t="s">
        <v>264</v>
      </c>
      <c r="G70" s="31" t="str">
        <f>HYPERLINK("https://studentaid.gov/articles/fafsa-student-steps/","Steps for Students Filling Out the FAFSA Form")</f>
        <v>Steps for Students Filling Out the FAFSA Form</v>
      </c>
      <c r="H70" s="31" t="str">
        <f>HYPERLINK("https://dream.csac.ca.gov/","California Dream Act Application")</f>
        <v>California Dream Act Application</v>
      </c>
      <c r="I70" s="31" t="str">
        <f>HYPERLINK("https://www.federalreserveeducation.org/teaching-resources/personal-finance/managing-credit/college-choice-101-fafsa","College Choice 101: FAFSA")</f>
        <v>College Choice 101: FAFSA</v>
      </c>
      <c r="J70" s="30"/>
      <c r="K70" s="54"/>
    </row>
    <row r="71" spans="1:11" s="18" customFormat="1" ht="13.2" customHeight="1" x14ac:dyDescent="0.3">
      <c r="A71" s="36" t="s">
        <v>265</v>
      </c>
      <c r="B71" s="12" t="s">
        <v>266</v>
      </c>
      <c r="C71" s="13" t="s">
        <v>267</v>
      </c>
      <c r="D71" s="36" t="s">
        <v>268</v>
      </c>
      <c r="E71" s="37">
        <v>6</v>
      </c>
      <c r="F71" s="36" t="s">
        <v>269</v>
      </c>
      <c r="G71" s="38" t="str">
        <f>HYPERLINK("https://www.federalreserveeducation.org/teaching-resources/personal-finance/managing-risk/is-insurance-worth-buying-lesson-10b","Is Insurance Worth Buying?")</f>
        <v>Is Insurance Worth Buying?</v>
      </c>
      <c r="H71" s="38" t="str">
        <f>HYPERLINK("https://www.consumerfinance.gov/consumer-tools/educator-tools/youth-financial-education/teach/activities/learning-about-insurance/","Learning About Insurance")</f>
        <v>Learning About Insurance</v>
      </c>
      <c r="I71" s="38" t="str">
        <f>HYPERLINK("https://www.khanacademy.org/college-careers-more/financial-literacy/xa6995ea67a8e9fdd%3Ainsurance/xa6995ea67a8e9fdd%3Ainsurance-basics-and-terminology/v/real-world-insurance-and-you","Khan Academy: Real World — Insurance and You")</f>
        <v>Khan Academy: Real World — Insurance and You</v>
      </c>
      <c r="J71" s="38" t="str">
        <f>HYPERLINK("https://www.youtube.com/watch?v=2YJ9b7P9qzQ","Friends: The One with the Lottery")</f>
        <v>Friends: The One with the Lottery</v>
      </c>
      <c r="K71" s="54"/>
    </row>
    <row r="72" spans="1:11" s="18" customFormat="1" ht="13.2" customHeight="1" x14ac:dyDescent="0.3">
      <c r="A72" s="36" t="s">
        <v>270</v>
      </c>
      <c r="B72" s="12" t="s">
        <v>271</v>
      </c>
      <c r="C72" s="13" t="s">
        <v>267</v>
      </c>
      <c r="D72" s="36" t="s">
        <v>272</v>
      </c>
      <c r="E72" s="37">
        <v>6</v>
      </c>
      <c r="F72" s="36" t="s">
        <v>273</v>
      </c>
      <c r="G72" s="38" t="str">
        <f>HYPERLINK("https://econiful.org/curriculum/unit-5-personal-finance-public#5-10","Econiful 5.10: Thinking About Insurance Like an Economist")</f>
        <v>Econiful 5.10: Thinking About Insurance Like an Economist</v>
      </c>
      <c r="H72" s="38" t="str">
        <f>HYPERLINK("https://www.consumerfinance.gov/consumer-tools/educator-tools/youth-financial-education/teach/activities/understanding-how-insurance-works-lucy/","CFPB: Understanding How Insurance Works — Lucy Case Study")</f>
        <v>CFPB: Understanding How Insurance Works — Lucy Case Study</v>
      </c>
      <c r="I72" s="38" t="str">
        <f>HYPERLINK("https://www.khanacademy.org/college-careers-more/financial-literacy/xa6995ea67a8e9fdd%3Ainsurance/xa6995ea67a8e9fdd%3Ainsurance-basics-and-terminology/v/how-to-buy-insurance","Khan Academy: How to Buy Insurance")</f>
        <v>Khan Academy: How to Buy Insurance</v>
      </c>
      <c r="J72" s="38" t="str">
        <f>HYPERLINK("https://www.youtube.com/watch?v=Y2m9k0mYp6o","Jeanne Robertson: Buying the Extended Warranty")</f>
        <v>Jeanne Robertson: Buying the Extended Warranty</v>
      </c>
      <c r="K72" s="54"/>
    </row>
    <row r="73" spans="1:11" s="18" customFormat="1" ht="13.2" customHeight="1" x14ac:dyDescent="0.3">
      <c r="A73" s="36" t="s">
        <v>274</v>
      </c>
      <c r="B73" s="12" t="s">
        <v>275</v>
      </c>
      <c r="C73" s="13" t="s">
        <v>267</v>
      </c>
      <c r="D73" s="36" t="s">
        <v>276</v>
      </c>
      <c r="E73" s="37">
        <v>6</v>
      </c>
      <c r="F73" s="36" t="s">
        <v>277</v>
      </c>
      <c r="G73" s="38" t="str">
        <f>HYPERLINK("https://www.fdic.gov/consumer-resource-center/grades-9-12","Risky Business — Selected Sections: Health, Life &amp; Disability Insurance")</f>
        <v>Risky Business — Selected Sections: Health, Life &amp; Disability Insurance</v>
      </c>
      <c r="H73" s="38" t="str">
        <f>HYPERLINK("https://www.cms.gov/initiatives/your-patient-rights/medical-bill-rights/get-help/medical-bill-guides-resources/health-insurance-terms-you-should-know","Health Insurance Terms You Should Know")</f>
        <v>Health Insurance Terms You Should Know</v>
      </c>
      <c r="I73" s="38" t="str">
        <f>HYPERLINK("https://www.khanacademy.org/college-careers-more/financial-literacy/xa6995ea67a8e9fdd%3Ainsurance/xa6995ea67a8e9fdd%3Adisability-and-long-term-care-insurance/v/disability-and-long-term-care-insurance","Khan Academy: Disability and Long-Term Care Insurance")</f>
        <v>Khan Academy: Disability and Long-Term Care Insurance</v>
      </c>
      <c r="J73" s="38" t="str">
        <f>HYPERLINK("https://www.youtube.com/watch?v=KKNi7CLxJkg","Friends: The One Where Joey Loses His Insurance")</f>
        <v>Friends: The One Where Joey Loses His Insurance</v>
      </c>
      <c r="K73" s="54"/>
    </row>
    <row r="74" spans="1:11" s="18" customFormat="1" ht="13.2" customHeight="1" x14ac:dyDescent="0.3">
      <c r="A74" s="39" t="s">
        <v>278</v>
      </c>
      <c r="B74" s="39" t="s">
        <v>279</v>
      </c>
      <c r="C74" s="40" t="s">
        <v>280</v>
      </c>
      <c r="D74" s="39"/>
      <c r="E74" s="39"/>
      <c r="F74" s="39"/>
      <c r="G74" s="39"/>
      <c r="H74" s="12"/>
      <c r="I74" s="12"/>
      <c r="J74" s="12"/>
      <c r="K74" s="54"/>
    </row>
    <row r="75" spans="1:11" s="18" customFormat="1" ht="13.2" customHeight="1" x14ac:dyDescent="0.3">
      <c r="A75" s="36" t="s">
        <v>281</v>
      </c>
      <c r="B75" s="12" t="s">
        <v>282</v>
      </c>
      <c r="C75" s="13" t="s">
        <v>267</v>
      </c>
      <c r="D75" s="36" t="s">
        <v>283</v>
      </c>
      <c r="E75" s="37">
        <v>6</v>
      </c>
      <c r="F75" s="36" t="s">
        <v>284</v>
      </c>
      <c r="G75" s="38" t="str">
        <f>HYPERLINK("https://econedlink.org/resources/choosing-sides-which-drivers-would-you-insure/","Choosing Sides: Which Drivers Would You Insure?")</f>
        <v>Choosing Sides: Which Drivers Would You Insure?</v>
      </c>
      <c r="H75" s="38" t="str">
        <f>HYPERLINK("https://www.mylowcostauto.com/","California Low Cost Auto Insurance")</f>
        <v>California Low Cost Auto Insurance</v>
      </c>
      <c r="I75" s="38" t="str">
        <f>HYPERLINK("https://www.federalreserveeducation.org/teaching-resources/personal-finance/managing-risk/car-insurance-101-coverage-and-cost-basics","Car Insurance 101 — Revisit: California Coverage Decisions")</f>
        <v>Car Insurance 101 — Revisit: California Coverage Decisions</v>
      </c>
      <c r="J75" s="38" t="str">
        <f>HYPERLINK("https://www.youtube.com/watch?v=9Hk3ZQp2m6A","Married with Children: Route 666")</f>
        <v>Married with Children: Route 666</v>
      </c>
      <c r="K75" s="54"/>
    </row>
    <row r="76" spans="1:11" s="18" customFormat="1" ht="13.2" customHeight="1" x14ac:dyDescent="0.3">
      <c r="A76" s="36" t="s">
        <v>285</v>
      </c>
      <c r="B76" s="12" t="s">
        <v>286</v>
      </c>
      <c r="C76" s="13" t="s">
        <v>267</v>
      </c>
      <c r="D76" s="36" t="s">
        <v>287</v>
      </c>
      <c r="E76" s="37">
        <v>6</v>
      </c>
      <c r="F76" s="36" t="s">
        <v>288</v>
      </c>
      <c r="G76" s="38" t="str">
        <f>HYPERLINK("https://www.fdic.gov/consumer-resource-center/grades-9-12","Risky Business — Revisit/Extension: Property Insurance")</f>
        <v>Risky Business — Revisit/Extension: Property Insurance</v>
      </c>
      <c r="H76" s="38" t="str">
        <f>HYPERLINK("https://www.insurance.ca.gov/01-consumers/105-type/95-guides/03-res/res-ins-guide.cfm","California DOI: Homeowners and Renters Insurance Guide")</f>
        <v>California DOI: Homeowners and Renters Insurance Guide</v>
      </c>
      <c r="I76" s="38" t="str">
        <f>HYPERLINK("https://www.federalreserveeducation.org/teaching-resources/personal-finance/managing-risk/property-insurance","Property Insurance")</f>
        <v>Property Insurance</v>
      </c>
      <c r="J76" s="36"/>
      <c r="K76" s="54"/>
    </row>
    <row r="77" spans="1:11" s="18" customFormat="1" ht="13.2" customHeight="1" x14ac:dyDescent="0.3">
      <c r="A77" s="36" t="s">
        <v>289</v>
      </c>
      <c r="B77" s="12" t="s">
        <v>290</v>
      </c>
      <c r="C77" s="13" t="s">
        <v>291</v>
      </c>
      <c r="D77" s="36" t="s">
        <v>292</v>
      </c>
      <c r="E77" s="36" t="s">
        <v>293</v>
      </c>
      <c r="F77" s="36" t="s">
        <v>294</v>
      </c>
      <c r="G77" s="38" t="str">
        <f>HYPERLINK("https://www.federalreserveeducation.org/teaching-resources/personal-finance/managing-risk/katrinas-classroom-lesson1-katrina-strikes","Katrina Strikes")</f>
        <v>Katrina Strikes</v>
      </c>
      <c r="H77" s="38" t="str">
        <f>HYPERLINK("https://www.consumerfinance.gov/consumer-tools/educator-tools/youth-financial-education/teach/activities/creating-savings-first-aid-kit/","Creating a Savings First Aid Kit")</f>
        <v>Creating a Savings First Aid Kit</v>
      </c>
      <c r="I77" s="38" t="str">
        <f>HYPERLINK("https://www.consumerfinance.gov/consumer-tools/disasters-and-emergencies/get-prepared-before-disaster-emergency-strikes/","CFPB: Get Prepared Before a Disaster — Video")</f>
        <v>CFPB: Get Prepared Before a Disaster — Video</v>
      </c>
      <c r="J77" s="38" t="str">
        <f>HYPERLINK("https://www.youtube.com/watch?v=9kQZ7mP2R4w","Tim Hawkins: Saving Money at Home")</f>
        <v>Tim Hawkins: Saving Money at Home</v>
      </c>
      <c r="K77" s="54"/>
    </row>
    <row r="78" spans="1:11" s="18" customFormat="1" ht="13.2" customHeight="1" x14ac:dyDescent="0.3">
      <c r="A78" s="36" t="s">
        <v>295</v>
      </c>
      <c r="B78" s="12" t="s">
        <v>296</v>
      </c>
      <c r="C78" s="13" t="s">
        <v>291</v>
      </c>
      <c r="D78" s="36" t="s">
        <v>297</v>
      </c>
      <c r="E78" s="36" t="s">
        <v>298</v>
      </c>
      <c r="F78" s="36" t="s">
        <v>299</v>
      </c>
      <c r="G78" s="38" t="str">
        <f>HYPERLINK("https://www.ssa.gov/thirdparty/groups/educators.html","Social Security Educator Toolkit")</f>
        <v>Social Security Educator Toolkit</v>
      </c>
      <c r="H78" s="38" t="str">
        <f>HYPERLINK("https://www.medicare.gov/basics/get-started-with-medicare/medicare-basics","Medicare Basics")</f>
        <v>Medicare Basics</v>
      </c>
      <c r="I78" s="38" t="str">
        <f>HYPERLINK("https://www.khanacademy.org/college-careers-more/financial-literacy/xa6995ea67a8e9fdd%3Aemployment/xa6995ea67a8e9fdd%3Aunemployment/v/what-happens-if-you-lose-your-income?t=%7Bseek_to_second_number%7D","Khan Academy: What Happens If You Lose Your Income?")</f>
        <v>Khan Academy: What Happens If You Lose Your Income?</v>
      </c>
      <c r="J78" s="36"/>
      <c r="K78" s="54"/>
    </row>
    <row r="79" spans="1:11" s="18" customFormat="1" ht="13.2" customHeight="1" x14ac:dyDescent="0.3">
      <c r="A79" s="36" t="s">
        <v>300</v>
      </c>
      <c r="B79" s="12" t="s">
        <v>301</v>
      </c>
      <c r="C79" s="13" t="s">
        <v>291</v>
      </c>
      <c r="D79" s="36" t="s">
        <v>302</v>
      </c>
      <c r="E79" s="36" t="s">
        <v>303</v>
      </c>
      <c r="F79" s="36" t="s">
        <v>304</v>
      </c>
      <c r="G79" s="38" t="str">
        <f>HYPERLINK("https://www.consumerfinance.gov/consumer-tools/educator-tools/youth-financial-education/teach/activities/understanding-minimum-payments/","Understanding Minimum Payments — Revisit: APR &amp; Compounding on Balances")</f>
        <v>Understanding Minimum Payments — Revisit: APR &amp; Compounding on Balances</v>
      </c>
      <c r="H79" s="38" t="str">
        <f>HYPERLINK("https://www.econedlink.org/wp-content/uploads/2018/07/978-1-56183-699-4.pdf","CEE Financial Fitness for Life: What's Wrong With Just Paying the Minimum?")</f>
        <v>CEE Financial Fitness for Life: What's Wrong With Just Paying the Minimum?</v>
      </c>
      <c r="I79" s="38" t="str">
        <f>HYPERLINK("https://www.federalreserveeducation.org/teaching-resources/personal-finance/managing-credit/the-amazing-2000-pizza","The Amazing $2,000 Pizza — Revisit: Minimum-Payment Debt Trap")</f>
        <v>The Amazing $2,000 Pizza — Revisit: Minimum-Payment Debt Trap</v>
      </c>
      <c r="J79" s="38" t="str">
        <f>HYPERLINK("https://www.youtube.com/watch?v=uSDHhEtzNDg","George Kamel: 5 Money Situations Comedians Get Right")</f>
        <v>George Kamel: 5 Money Situations Comedians Get Right</v>
      </c>
      <c r="K79" s="54"/>
    </row>
    <row r="80" spans="1:11" s="18" customFormat="1" ht="13.2" customHeight="1" x14ac:dyDescent="0.3">
      <c r="A80" s="39" t="s">
        <v>305</v>
      </c>
      <c r="B80" s="39" t="s">
        <v>279</v>
      </c>
      <c r="C80" s="40" t="s">
        <v>280</v>
      </c>
      <c r="D80" s="39"/>
      <c r="E80" s="39"/>
      <c r="F80" s="39"/>
      <c r="G80" s="39"/>
      <c r="H80" s="12"/>
      <c r="I80" s="12"/>
      <c r="J80" s="12"/>
      <c r="K80" s="54"/>
    </row>
    <row r="81" spans="1:11" s="18" customFormat="1" ht="13.2" customHeight="1" x14ac:dyDescent="0.3">
      <c r="A81" s="36" t="s">
        <v>306</v>
      </c>
      <c r="B81" s="12" t="s">
        <v>307</v>
      </c>
      <c r="C81" s="13" t="s">
        <v>291</v>
      </c>
      <c r="D81" s="36" t="s">
        <v>308</v>
      </c>
      <c r="E81" s="36" t="s">
        <v>309</v>
      </c>
      <c r="F81" s="36" t="s">
        <v>310</v>
      </c>
      <c r="G81" s="38" t="str">
        <f>HYPERLINK("https://www.stlouisfed.org/publications/page-one-economics/2023/02/01/what-is-the-best-strategy-for-paying-off-credit-card-debt","What Is the Best Strategy for Paying Off Credit Card Debt?")</f>
        <v>What Is the Best Strategy for Paying Off Credit Card Debt?</v>
      </c>
      <c r="H81" s="38" t="str">
        <f>HYPERLINK("https://extension.usu.edu/powerpay/app","PowerPay Debt Reduction Tool")</f>
        <v>PowerPay Debt Reduction Tool</v>
      </c>
      <c r="I81" s="38" t="str">
        <f>HYPERLINK("https://www.khanacademy.org/economics-finance-domain/economics-personal-finance-va/x3ed8f3aede624754%3Aloans-and-debt/x3ed8f3aede624754%3Adebt/v/high-rate-vs-snowball-method","Khan Academy: High-Rate vs. Snowball Method")</f>
        <v>Khan Academy: High-Rate vs. Snowball Method</v>
      </c>
      <c r="J81" s="38" t="str">
        <f>HYPERLINK("https://www.youtube.com/results?search_query=Tennessee+Ernie+Ford+Sixteen+Tons","Tennessee Ernie Ford: Sixteen Tons (song)")</f>
        <v>Tennessee Ernie Ford: Sixteen Tons (song)</v>
      </c>
      <c r="K81" s="54"/>
    </row>
    <row r="82" spans="1:11" s="18" customFormat="1" ht="13.2" customHeight="1" x14ac:dyDescent="0.3">
      <c r="A82" s="36" t="s">
        <v>311</v>
      </c>
      <c r="B82" s="12" t="s">
        <v>312</v>
      </c>
      <c r="C82" s="13" t="s">
        <v>313</v>
      </c>
      <c r="D82" s="36" t="s">
        <v>314</v>
      </c>
      <c r="E82" s="36" t="s">
        <v>303</v>
      </c>
      <c r="F82" s="36" t="s">
        <v>315</v>
      </c>
      <c r="G82" s="38" t="str">
        <f>HYPERLINK("https://www.federalreserveeducation.org/teaching-resources/personal-finance/managing-risk/the-three-ds-of-identity-theft-lesson-10a","The Three D's of Identity Theft")</f>
        <v>The Three D's of Identity Theft</v>
      </c>
      <c r="H82" s="38" t="str">
        <f>HYPERLINK("https://reportfraud.ftc.gov/","ReportFraud.ftc.gov")</f>
        <v>ReportFraud.ftc.gov</v>
      </c>
      <c r="I82" s="38" t="str">
        <f>HYPERLINK("https://www.federalreserveeducation.org/teaching-resources/personal-finance/managing-risk/five-tips-to-protect-your-online-and-financial-security","Five Tips to Protect Online &amp; Financial Security — Prevention")</f>
        <v>Five Tips to Protect Online &amp; Financial Security — Prevention</v>
      </c>
      <c r="J82" s="38" t="str">
        <f>HYPERLINK("https://www.youtube.com/watch?v=4B0w4Z8Qb0o","Saturday Night Live: Consumer Probe")</f>
        <v>Saturday Night Live: Consumer Probe</v>
      </c>
      <c r="K82" s="54"/>
    </row>
    <row r="83" spans="1:11" s="18" customFormat="1" ht="13.2" customHeight="1" x14ac:dyDescent="0.3">
      <c r="A83" s="36" t="s">
        <v>316</v>
      </c>
      <c r="B83" s="12" t="s">
        <v>317</v>
      </c>
      <c r="C83" s="13" t="s">
        <v>313</v>
      </c>
      <c r="D83" s="36" t="s">
        <v>318</v>
      </c>
      <c r="E83" s="36" t="s">
        <v>303</v>
      </c>
      <c r="F83" s="36" t="s">
        <v>319</v>
      </c>
      <c r="G83" s="38" t="str">
        <f>HYPERLINK("https://www.federalreserveeducation.org/teaching-resources/personal-finance/spending-budgeting/keys-consumer-protection","Consumer Protection")</f>
        <v>Consumer Protection</v>
      </c>
      <c r="H83" s="38" t="str">
        <f>HYPERLINK("https://consumer.ftc.gov/articles/protect-your-personal-information-hackers-and-scammers","FTC: Protect Your Personal Information From Hackers and Scammers")</f>
        <v>FTC: Protect Your Personal Information From Hackers and Scammers</v>
      </c>
      <c r="I83" s="38" t="str">
        <f>HYPERLINK("https://consumer.ftc.gov/media/79888","FTC: Public Wi-Fi Networks — Security Tips")</f>
        <v>FTC: Public Wi-Fi Networks — Security Tips</v>
      </c>
      <c r="J83" s="36"/>
      <c r="K83" s="54"/>
    </row>
    <row r="84" spans="1:11" s="18" customFormat="1" ht="13.2" customHeight="1" x14ac:dyDescent="0.3">
      <c r="A84" s="41" t="s">
        <v>320</v>
      </c>
      <c r="B84" s="14" t="s">
        <v>321</v>
      </c>
      <c r="C84" s="15" t="s">
        <v>322</v>
      </c>
      <c r="D84" s="41" t="s">
        <v>323</v>
      </c>
      <c r="E84" s="42">
        <v>8</v>
      </c>
      <c r="F84" s="41" t="s">
        <v>324</v>
      </c>
      <c r="G84" s="43" t="str">
        <f>HYPERLINK("https://www.federalreserveeducation.org/teaching-resources/personal-finance/investing/bonds-stocks-and-mutual-funds","Bonds, Stocks and Mutual Funds")</f>
        <v>Bonds, Stocks and Mutual Funds</v>
      </c>
      <c r="H84" s="43" t="str">
        <f>HYPERLINK("https://www.investor.gov/additional-resources/information/youth/teachers-classroom-resources/how-save-and-invest","Investor.gov: How to Save and Invest — Asset Class Activity")</f>
        <v>Investor.gov: How to Save and Invest — Asset Class Activity</v>
      </c>
      <c r="I84" s="43" t="str">
        <f>HYPERLINK("https://www.federalreserveeducation.org/teaching-resources/personal-finance/investing/understanding-capital-markets","Understanding Capital Markets")</f>
        <v>Understanding Capital Markets</v>
      </c>
      <c r="J84" s="43" t="str">
        <f>HYPERLINK("https://www.youtube.com/watch?v=Yq5s4Zk2mH0","Laverne and Shirley: The Investment")</f>
        <v>Laverne and Shirley: The Investment</v>
      </c>
      <c r="K84" s="54"/>
    </row>
    <row r="85" spans="1:11" s="18" customFormat="1" ht="13.2" customHeight="1" x14ac:dyDescent="0.3">
      <c r="A85" s="41" t="s">
        <v>325</v>
      </c>
      <c r="B85" s="14" t="s">
        <v>326</v>
      </c>
      <c r="C85" s="15" t="s">
        <v>322</v>
      </c>
      <c r="D85" s="41" t="s">
        <v>327</v>
      </c>
      <c r="E85" s="42">
        <v>8</v>
      </c>
      <c r="F85" s="41" t="s">
        <v>328</v>
      </c>
      <c r="G85" s="43" t="str">
        <f>HYPERLINK("https://econiful.org/curriculum/unit-5-personal-finance-public#5-2","Econiful 5.2: Investing Like an Economist")</f>
        <v>Econiful 5.2: Investing Like an Economist</v>
      </c>
      <c r="H85" s="43" t="str">
        <f>HYPERLINK("https://www.investor.gov/additional-resources/information/youth/teachers-classroom-resources/what-diversification","What Is Diversification?")</f>
        <v>What Is Diversification?</v>
      </c>
      <c r="I85" s="43" t="str">
        <f>HYPERLINK("https://www.federalreserveeducation.org/teaching-resources/personal-finance/investing/get-into-stocks","Get Into Stocks")</f>
        <v>Get Into Stocks</v>
      </c>
      <c r="J85" s="43" t="str">
        <f>HYPERLINK("https://www.youtube.com/watch?v=3ZpE9mKxR7Q","The Jeffersons: The Stock Market Crash")</f>
        <v>The Jeffersons: The Stock Market Crash</v>
      </c>
      <c r="K85" s="54"/>
    </row>
    <row r="86" spans="1:11" s="18" customFormat="1" ht="13.2" customHeight="1" x14ac:dyDescent="0.3">
      <c r="A86" s="44" t="s">
        <v>329</v>
      </c>
      <c r="B86" s="44" t="s">
        <v>330</v>
      </c>
      <c r="C86" s="45" t="s">
        <v>331</v>
      </c>
      <c r="D86" s="44"/>
      <c r="E86" s="44"/>
      <c r="F86" s="44"/>
      <c r="G86" s="46"/>
      <c r="H86" s="14"/>
      <c r="I86" s="14"/>
      <c r="J86" s="14"/>
      <c r="K86" s="54"/>
    </row>
    <row r="87" spans="1:11" s="18" customFormat="1" ht="13.2" customHeight="1" x14ac:dyDescent="0.3">
      <c r="A87" s="41" t="s">
        <v>332</v>
      </c>
      <c r="B87" s="14" t="s">
        <v>333</v>
      </c>
      <c r="C87" s="15" t="s">
        <v>322</v>
      </c>
      <c r="D87" s="41" t="s">
        <v>334</v>
      </c>
      <c r="E87" s="42">
        <v>8</v>
      </c>
      <c r="F87" s="41" t="s">
        <v>335</v>
      </c>
      <c r="G87" s="43" t="str">
        <f>HYPERLINK("https://www.federalreserveeducation.org/teaching-resources/personal-finance/investing/managing-risk-time-and-diversification-lesson-8a","Managing Risk—Time and Diversification")</f>
        <v>Managing Risk—Time and Diversification</v>
      </c>
      <c r="H87" s="43" t="str">
        <f>HYPERLINK("https://www.investor.gov/additional-resources/information/youth/teachers-classroom-resources/risk-and-return","Risk and Return")</f>
        <v>Risk and Return</v>
      </c>
      <c r="I87" s="43" t="str">
        <f>HYPERLINK("https://www.khanacademy.org/college-careers-more/financial-literacy/xa6995ea67a8e9fdd%3Ainvestments-retirement/xa6995ea67a8e9fdd%3Ainvesting/v/how-do-i-invest","Khan Academy: How Do I Invest?")</f>
        <v>Khan Academy: How Do I Invest?</v>
      </c>
      <c r="J87" s="43" t="str">
        <f>HYPERLINK("https://www.youtube.com/watch?v=PfV04gZnq9I","The Flintstones: The Flintstones Get Rich Quick")</f>
        <v>The Flintstones: The Flintstones Get Rich Quick</v>
      </c>
      <c r="K87" s="54"/>
    </row>
    <row r="88" spans="1:11" s="18" customFormat="1" ht="13.2" customHeight="1" x14ac:dyDescent="0.3">
      <c r="A88" s="41" t="s">
        <v>336</v>
      </c>
      <c r="B88" s="14" t="s">
        <v>337</v>
      </c>
      <c r="C88" s="15" t="s">
        <v>322</v>
      </c>
      <c r="D88" s="41" t="s">
        <v>338</v>
      </c>
      <c r="E88" s="42">
        <v>8</v>
      </c>
      <c r="F88" s="41" t="s">
        <v>339</v>
      </c>
      <c r="G88" s="43" t="str">
        <f>HYPERLINK("https://www.fdic.gov/consumer-resource-center/grades-9-12","Road to Retirement")</f>
        <v>Road to Retirement</v>
      </c>
      <c r="H88" s="43" t="str">
        <f>HYPERLINK("https://www.federalreserveeducation.org/teaching-resources/personal-finance/saving/retirement-account-basics","Retirement Account Basics")</f>
        <v>Retirement Account Basics</v>
      </c>
      <c r="I88" s="43" t="str">
        <f>HYPERLINK("https://www.federalreserveeducation.org/teaching-resources/personal-finance/saving/ways-to-save-401k-and-roth-401k","Ways to Save — 401(k) &amp; Roth 401(k) Account Basics")</f>
        <v>Ways to Save — 401(k) &amp; Roth 401(k) Account Basics</v>
      </c>
      <c r="J88" s="41"/>
      <c r="K88" s="54"/>
    </row>
    <row r="89" spans="1:11" s="18" customFormat="1" ht="13.2" customHeight="1" x14ac:dyDescent="0.3">
      <c r="A89" s="41" t="s">
        <v>340</v>
      </c>
      <c r="B89" s="14" t="s">
        <v>341</v>
      </c>
      <c r="C89" s="15" t="s">
        <v>322</v>
      </c>
      <c r="D89" s="41" t="s">
        <v>342</v>
      </c>
      <c r="E89" s="41" t="s">
        <v>343</v>
      </c>
      <c r="F89" s="41" t="s">
        <v>344</v>
      </c>
      <c r="G89" s="43" t="str">
        <f>HYPERLINK("https://econedlink.org/resources/the-benefits-of-investing-early/","The Benefits of Investing Early")</f>
        <v>The Benefits of Investing Early</v>
      </c>
      <c r="H89" s="43" t="str">
        <f>HYPERLINK("https://www.investor.gov/additional-resources/information/youth/teachers-classroom-resources/what-compound-interest","Investor.gov: Compound Interest — Rule of 72 Extension")</f>
        <v>Investor.gov: Compound Interest — Rule of 72 Extension</v>
      </c>
      <c r="I89" s="43" t="str">
        <f>HYPERLINK("https://www.federalreserveeducation.org/teaching-resources/personal-finance/investing/life-goals","Life Goals — Revisit: Starting Early &amp; Long-Term Goals")</f>
        <v>Life Goals — Revisit: Starting Early &amp; Long-Term Goals</v>
      </c>
      <c r="J89" s="43" t="str">
        <f>HYPERLINK("https://www.youtube.com/watch?v=Zp1B8y9wF2Q","Tim Hawkins: Cheap People vs Smart Savers")</f>
        <v>Tim Hawkins: Cheap People vs Smart Savers</v>
      </c>
      <c r="K89" s="54"/>
    </row>
    <row r="90" spans="1:11" s="18" customFormat="1" ht="13.2" customHeight="1" x14ac:dyDescent="0.3">
      <c r="A90" s="41" t="s">
        <v>345</v>
      </c>
      <c r="B90" s="14" t="s">
        <v>346</v>
      </c>
      <c r="C90" s="15" t="s">
        <v>347</v>
      </c>
      <c r="D90" s="41" t="s">
        <v>348</v>
      </c>
      <c r="E90" s="41" t="s">
        <v>343</v>
      </c>
      <c r="F90" s="41" t="s">
        <v>349</v>
      </c>
      <c r="G90" s="43" t="str">
        <f>HYPERLINK("https://econedlink.org/resources/inflation-data-is-the-economy-healthy/","Inflation Data: Is the Economy Healthy?")</f>
        <v>Inflation Data: Is the Economy Healthy?</v>
      </c>
      <c r="H90" s="43" t="str">
        <f>HYPERLINK("https://www.bls.gov/k12/teachers/activities/my-dollar-is-worth-what-activity.htm","My Dollar Is Worth What?")</f>
        <v>My Dollar Is Worth What?</v>
      </c>
      <c r="I90" s="43" t="str">
        <f>HYPERLINK("https://www.federalreserveeducation.org/teaching-resources/economics/inflation/why-should-you-care-about-inflation","Why Should You Care About Inflation?")</f>
        <v>Why Should You Care About Inflation?</v>
      </c>
      <c r="J90" s="43" t="str">
        <f>HYPERLINK("http://www.youtube.com/watch?v=WoQnMft1v6k","All in the Family: The Bunkers and Inflation")</f>
        <v>All in the Family: The Bunkers and Inflation</v>
      </c>
      <c r="K90" s="54"/>
    </row>
    <row r="91" spans="1:11" s="18" customFormat="1" ht="13.2" customHeight="1" x14ac:dyDescent="0.3">
      <c r="A91" s="41" t="s">
        <v>350</v>
      </c>
      <c r="B91" s="14" t="s">
        <v>351</v>
      </c>
      <c r="C91" s="15" t="s">
        <v>347</v>
      </c>
      <c r="D91" s="41" t="s">
        <v>352</v>
      </c>
      <c r="E91" s="41" t="s">
        <v>343</v>
      </c>
      <c r="F91" s="41" t="s">
        <v>353</v>
      </c>
      <c r="G91" s="43" t="str">
        <f>HYPERLINK("https://www.dol.gov/agencies/ebsa/about-ebsa/our-activities/resource-center/publications/retirement-toolkit","U.S. Department of Labor: Retirement Toolkit")</f>
        <v>U.S. Department of Labor: Retirement Toolkit</v>
      </c>
      <c r="H91" s="43" t="str">
        <f>HYPERLINK("https://www.medicare.gov/basics/get-started-with-medicare/medicare-basics/parts-of-medicare","Parts of Medicare")</f>
        <v>Parts of Medicare</v>
      </c>
      <c r="I91" s="43" t="str">
        <f>HYPERLINK("https://www.youtube.com/watch?v=7CU3QR2eIj0","Social Security Administration: How Retirement Benefits Work")</f>
        <v>Social Security Administration: How Retirement Benefits Work</v>
      </c>
      <c r="J91" s="41"/>
      <c r="K91" s="54"/>
    </row>
    <row r="92" spans="1:11" s="18" customFormat="1" ht="13.2" customHeight="1" x14ac:dyDescent="0.3">
      <c r="A92" s="44" t="s">
        <v>354</v>
      </c>
      <c r="B92" s="44" t="s">
        <v>330</v>
      </c>
      <c r="C92" s="45" t="s">
        <v>331</v>
      </c>
      <c r="D92" s="44"/>
      <c r="E92" s="44"/>
      <c r="F92" s="44"/>
      <c r="G92" s="46"/>
      <c r="H92" s="14"/>
      <c r="I92" s="14"/>
      <c r="J92" s="14"/>
      <c r="K92" s="54"/>
    </row>
    <row r="93" spans="1:11" s="18" customFormat="1" ht="13.2" customHeight="1" x14ac:dyDescent="0.3">
      <c r="A93" s="41" t="s">
        <v>355</v>
      </c>
      <c r="B93" s="14" t="s">
        <v>356</v>
      </c>
      <c r="C93" s="15" t="s">
        <v>347</v>
      </c>
      <c r="D93" s="41" t="s">
        <v>357</v>
      </c>
      <c r="E93" s="41" t="s">
        <v>343</v>
      </c>
      <c r="F93" s="41" t="s">
        <v>358</v>
      </c>
      <c r="G93" s="43" t="str">
        <f>HYPERLINK("https://www.federalreserveeducation.org/teaching-resources/personal-finance/saving/retirement-account-basics","Retirement Account Basics — Revisit: Pensions &amp; Retirement Supplements")</f>
        <v>Retirement Account Basics — Revisit: Pensions &amp; Retirement Supplements</v>
      </c>
      <c r="H93" s="43" t="str">
        <f>HYPERLINK("https://www.pbgc.gov/about/advocate/resources/pensions","Pensions")</f>
        <v>Pensions</v>
      </c>
      <c r="I93" s="43" t="str">
        <f>HYPERLINK("https://www.khanacademy.org/college-careers-more/financial-literacy/xa6995ea67a8e9fdd%3Ainvestments-retirement/xa6995ea67a8e9fdd%3Asaving-for-retirement/v/other-retirement-plans-403b-457-tsp-pension-etc","Khan Academy: Other Retirement Plans — 403(b), 457, TSP, Pension")</f>
        <v>Khan Academy: Other Retirement Plans — 403(b), 457, TSP, Pension</v>
      </c>
      <c r="J93" s="43" t="str">
        <f>HYPERLINK("https://www.youtube.com/results?search_query=Dire+Straits+Money+for+Nothing","Dire Straits: Money for Nothing (song)")</f>
        <v>Dire Straits: Money for Nothing (song)</v>
      </c>
      <c r="K93" s="54"/>
    </row>
    <row r="94" spans="1:11" s="18" customFormat="1" ht="13.2" customHeight="1" x14ac:dyDescent="0.3">
      <c r="A94" s="41" t="s">
        <v>359</v>
      </c>
      <c r="B94" s="14" t="s">
        <v>360</v>
      </c>
      <c r="C94" s="15" t="s">
        <v>361</v>
      </c>
      <c r="D94" s="41" t="s">
        <v>362</v>
      </c>
      <c r="E94" s="41" t="s">
        <v>363</v>
      </c>
      <c r="F94" s="41" t="s">
        <v>364</v>
      </c>
      <c r="G94" s="43" t="str">
        <f>HYPERLINK("https://www.federalreserveeducation.org/teaching-resources/economics/labor-income/the-wealth-game-factors-for-success-lesson-1a","The Wealth Game—Factors for Success")</f>
        <v>The Wealth Game—Factors for Success</v>
      </c>
      <c r="H94" s="43" t="str">
        <f>HYPERLINK("https://www.consumerfinance.gov/consumer-tools/educator-tools/youth-financial-education/teach/activities/understanding-who-shapes-your-money-decisions/","CFPB: Understanding Who Shapes Your Money Decisions")</f>
        <v>CFPB: Understanding Who Shapes Your Money Decisions</v>
      </c>
      <c r="I94" s="43" t="str">
        <f>HYPERLINK("https://www.federalreserveeducation.org/teaching-resources/personal-finance/investing/wealth-creation-for-all","Wealth Creation for All")</f>
        <v>Wealth Creation for All</v>
      </c>
      <c r="J94" s="43" t="str">
        <f>HYPERLINK("https://www.youtube.com/watch?v=2jP9y6vW3oQ","Gilligan's Island: The Millionaire")</f>
        <v>Gilligan's Island: The Millionaire</v>
      </c>
      <c r="K94" s="54"/>
    </row>
    <row r="95" spans="1:11" s="18" customFormat="1" ht="13.2" customHeight="1" x14ac:dyDescent="0.3">
      <c r="A95" s="41" t="s">
        <v>365</v>
      </c>
      <c r="B95" s="14" t="s">
        <v>366</v>
      </c>
      <c r="C95" s="15" t="s">
        <v>361</v>
      </c>
      <c r="D95" s="41" t="s">
        <v>367</v>
      </c>
      <c r="E95" s="41" t="s">
        <v>363</v>
      </c>
      <c r="F95" s="41" t="s">
        <v>80</v>
      </c>
      <c r="G95" s="43" t="str">
        <f>HYPERLINK("https://www.fdic.gov/consumer-resource-center/grades-9-12","Pocket Giving — Revisit: Legacy &amp; Community Responsibility")</f>
        <v>Pocket Giving — Revisit: Legacy &amp; Community Responsibility</v>
      </c>
      <c r="H95" s="43" t="str">
        <f>HYPERLINK("https://www.charitynavigator.org/","Charity Navigator")</f>
        <v>Charity Navigator</v>
      </c>
      <c r="I95" s="43" t="str">
        <f>HYPERLINK("https://www.pbs.org/video/estate-planning-for-generational-wealth-Idf6qL/","PBS: Estate Planning for Generational Wealth — Select Excerpt")</f>
        <v>PBS: Estate Planning for Generational Wealth — Select Excerpt</v>
      </c>
      <c r="J95" s="43" t="str">
        <f>HYPERLINK("https://www.youtube.com/watch?v=hW2XtG7hxF0","The Twilight Zone: The Rip Van Winkle Caper")</f>
        <v>The Twilight Zone: The Rip Van Winkle Caper</v>
      </c>
      <c r="K95" s="54"/>
    </row>
    <row r="96" spans="1:11" s="18" customFormat="1" ht="13.2" customHeight="1" x14ac:dyDescent="0.3">
      <c r="A96" s="41" t="s">
        <v>368</v>
      </c>
      <c r="B96" s="14" t="s">
        <v>369</v>
      </c>
      <c r="C96" s="15" t="s">
        <v>361</v>
      </c>
      <c r="D96" s="41" t="s">
        <v>370</v>
      </c>
      <c r="E96" s="42">
        <v>13</v>
      </c>
      <c r="F96" s="41"/>
      <c r="G96" s="43" t="str">
        <f>HYPERLINK("https://catalog.fdic.gov/catalog/sfc/servlet.shepherd/document/download/069SJ00000n9YBLYA2","Financial Sleuth — Revisit: Lifelong Financial Learning")</f>
        <v>Financial Sleuth — Revisit: Lifelong Financial Learning</v>
      </c>
      <c r="H96" s="43" t="str">
        <f>HYPERLINK("https://www.consumerfinance.gov/consumer-tools/educator-tools/youth-financial-education/assess/","CFPB: Assessing Financial Capability — Grades 9–12")</f>
        <v>CFPB: Assessing Financial Capability — Grades 9–12</v>
      </c>
      <c r="I96" s="43" t="str">
        <f>HYPERLINK("https://www.consumerfinance.gov/consumer-tools/educator-tools/youth-financial-education/learn/financial-habits-norms/","CFPB: Financial Habits and Norms — Video")</f>
        <v>CFPB: Financial Habits and Norms — Video</v>
      </c>
      <c r="J96" s="43" t="str">
        <f>HYPERLINK("https://www.youtube.com/watch?v=FFv1_INQkKs","All in the Family: Pay the Twenty Dollars")</f>
        <v>All in the Family: Pay the Twenty Dollars</v>
      </c>
      <c r="K96" s="54"/>
    </row>
    <row r="97" spans="1:11" s="18" customFormat="1" ht="13.2" customHeight="1" x14ac:dyDescent="0.3">
      <c r="A97" s="41" t="s">
        <v>371</v>
      </c>
      <c r="B97" s="14" t="s">
        <v>372</v>
      </c>
      <c r="C97" s="15"/>
      <c r="D97" s="41" t="s">
        <v>373</v>
      </c>
      <c r="E97" s="41"/>
      <c r="F97" s="41"/>
      <c r="G97" s="41" t="s">
        <v>374</v>
      </c>
      <c r="H97" s="43" t="str">
        <f>HYPERLINK("https://www.mymoney.gov/","MyMoney.gov")</f>
        <v>MyMoney.gov</v>
      </c>
      <c r="I97" s="43" t="str">
        <f>HYPERLINK("https://www.khanacademy.org/college-careers-more/financial-literacy/xa6995ea67a8e9fdd%3Aadditional-resources/xa6995ea67a8e9fdd%3Asaving-and-budgeting/v/pf-what-is-the-bare-minimum-i-need-to-know","Khan Academy: Bare-Minimum Financial Knowledge for Life")</f>
        <v>Khan Academy: Bare-Minimum Financial Knowledge for Life</v>
      </c>
      <c r="J97" s="43" t="str">
        <f>HYPERLINK("https://www.youtube.com/watch?v=ZEQKz_O1PB8","The Andy Griffith Show: If I Had a Quarter Million Dollars")</f>
        <v>The Andy Griffith Show: If I Had a Quarter Million Dollars</v>
      </c>
      <c r="K97" s="54"/>
    </row>
    <row r="98" spans="1:11" x14ac:dyDescent="0.25">
      <c r="A98" s="50"/>
      <c r="B98" s="50"/>
      <c r="C98" s="51"/>
      <c r="D98" s="50"/>
      <c r="E98" s="50"/>
      <c r="F98" s="50"/>
      <c r="G98" s="50"/>
      <c r="H98" s="52"/>
      <c r="I98" s="52"/>
      <c r="J98" s="52"/>
      <c r="K98" s="50"/>
    </row>
  </sheetData>
  <hyperlinks>
    <hyperlink ref="I4" r:id="rId1" display="https://www.youtube.com/watch?v=NwWiRoD_jYY" xr:uid="{00000000-0004-0000-0000-000000000000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Pacing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CCEE;Joshua Mitton</dc:creator>
  <cp:lastModifiedBy>Joshua Mitton</cp:lastModifiedBy>
  <dcterms:created xsi:type="dcterms:W3CDTF">2026-08-31T04:14:07Z</dcterms:created>
  <dcterms:modified xsi:type="dcterms:W3CDTF">2026-08-31T06:08:59Z</dcterms:modified>
</cp:coreProperties>
</file>